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1600" windowHeight="9360" tabRatio="899" firstSheet="3" activeTab="9"/>
  </bookViews>
  <sheets>
    <sheet name="封面" sheetId="53" r:id="rId1"/>
    <sheet name="报价指引" sheetId="54" r:id="rId2"/>
    <sheet name="投标报价汇总表" sheetId="55" r:id="rId3"/>
    <sheet name="高层汇总表" sheetId="56" r:id="rId4"/>
    <sheet name="车库汇总表" sheetId="57" r:id="rId5"/>
    <sheet name="基准土建清单编制说明" sheetId="4" r:id="rId6"/>
    <sheet name="基准水电安装清单编制说明" sheetId="47" r:id="rId7"/>
    <sheet name="基准土石方清单" sheetId="52" r:id="rId8"/>
    <sheet name="基准桩基清单" sheetId="31" r:id="rId9"/>
    <sheet name="基准地下室土建清单" sheetId="26" r:id="rId10"/>
    <sheet name="基准高层土建清单 " sheetId="43" r:id="rId11"/>
    <sheet name="基准水电安装清单" sheetId="50" r:id="rId12"/>
    <sheet name="措施费" sheetId="51" r:id="rId13"/>
    <sheet name="投标单位补充清单" sheetId="58" r:id="rId14"/>
    <sheet name="零星工作限价表" sheetId="11" r:id="rId15"/>
    <sheet name="调差材料基价表" sheetId="12" r:id="rId16"/>
  </sheets>
  <definedNames>
    <definedName name="__SZ2" localSheetId="11">#REF!</definedName>
    <definedName name="__SZ2">#REF!</definedName>
    <definedName name="_xlnm._FilterDatabase" localSheetId="9" hidden="1">基准地下室土建清单!$A$4:$V$331</definedName>
    <definedName name="_xlnm._FilterDatabase" localSheetId="10" hidden="1">'基准高层土建清单 '!$A$4:$Y$408</definedName>
    <definedName name="_xlnm._FilterDatabase" localSheetId="11" hidden="1">基准水电安装清单!$A$6:$S$415</definedName>
    <definedName name="_xlnm._FilterDatabase" localSheetId="7" hidden="1">基准土石方清单!$A$3:$V$14</definedName>
    <definedName name="_xlnm._FilterDatabase" localSheetId="8" hidden="1">基准桩基清单!$A$3:$W$26</definedName>
    <definedName name="_SZ2" localSheetId="11">#REF!</definedName>
    <definedName name="_SZ2">#REF!</definedName>
    <definedName name="a">#REF!</definedName>
    <definedName name="aaa">#REF!</definedName>
    <definedName name="bbb">#REF!</definedName>
    <definedName name="ddd">#REF!</definedName>
    <definedName name="EQUIPMENT">#REF!</definedName>
    <definedName name="HWSheet">1</definedName>
    <definedName name="i" localSheetId="11">#REF!</definedName>
    <definedName name="i">#REF!</definedName>
    <definedName name="Module.Prix_SMC">#N/A</definedName>
    <definedName name="_xlnm.Print_Area" localSheetId="9">基准地下室土建清单!$A$1:$U$331</definedName>
    <definedName name="_xlnm.Print_Area" localSheetId="10">'基准高层土建清单 '!$A$1:$U$408</definedName>
    <definedName name="_xlnm.Print_Area" localSheetId="11">基准水电安装清单!$A$1:$S$407</definedName>
    <definedName name="_xlnm.Print_Area" localSheetId="6">基准水电安装清单编制说明!$A$1:$A$29</definedName>
    <definedName name="_xlnm.Print_Area" localSheetId="5">基准土建清单编制说明!$A$1:$M$39</definedName>
    <definedName name="_xlnm.Print_Area" localSheetId="8">基准桩基清单!$A$1:$V$26</definedName>
    <definedName name="_xlnm.Print_Area" localSheetId="15">调差材料基价表!$A$1:$H$68</definedName>
    <definedName name="_xlnm.Print_Area" localSheetId="2">投标报价汇总表!$A$1:$L$12</definedName>
    <definedName name="_xlnm.Print_Area" hidden="1">#REF!</definedName>
    <definedName name="Prix_SMC">#N/A</definedName>
    <definedName name="w" localSheetId="11">#REF!</definedName>
    <definedName name="w">#REF!</definedName>
    <definedName name="x" localSheetId="11">#REF!</definedName>
    <definedName name="x">#REF!</definedName>
    <definedName name="zhonguo">#REF!</definedName>
    <definedName name="二级钢">调差材料基价表!$E$5</definedName>
    <definedName name="钢筋代号">#REF!</definedName>
    <definedName name="冷轧带肋钢材">调差材料基价表!$E$8</definedName>
    <definedName name="砌体体积">#REF!*(#REF!-#REF!)*#REF!+#REF!-#REF!*#REF!-#REF!-#REF!-#REF!-#REF!</definedName>
    <definedName name="三级钢">调差材料基价表!$E$6</definedName>
    <definedName name="数量">#REF!</definedName>
    <definedName name="四级钢">调差材料基价表!$E$7</definedName>
    <definedName name="四级抗震带E钢筋">调差材料基价表!$E$9</definedName>
    <definedName name="一级钢综合">调差材料基价表!$E$4</definedName>
  </definedNames>
  <calcPr calcId="144525"/>
</workbook>
</file>

<file path=xl/calcChain.xml><?xml version="1.0" encoding="utf-8"?>
<calcChain xmlns="http://schemas.openxmlformats.org/spreadsheetml/2006/main">
  <c r="F10" i="55" l="1"/>
  <c r="F7" i="55"/>
  <c r="H6" i="58"/>
  <c r="H6" i="52" l="1"/>
  <c r="S406" i="43" l="1"/>
  <c r="M406" i="43" s="1"/>
  <c r="L406" i="43" s="1"/>
  <c r="K406" i="43" s="1"/>
  <c r="S405" i="43"/>
  <c r="G59" i="43"/>
  <c r="H18" i="26"/>
  <c r="H9" i="26"/>
  <c r="H330" i="26"/>
  <c r="O160" i="26"/>
  <c r="G120" i="26"/>
  <c r="Q7" i="58"/>
  <c r="K7" i="58" s="1"/>
  <c r="J7" i="58" s="1"/>
  <c r="I7" i="58" s="1"/>
  <c r="H7" i="58" s="1"/>
  <c r="H9" i="58" s="1"/>
  <c r="K9" i="55" s="1"/>
  <c r="Q6" i="58"/>
  <c r="K6" i="58"/>
  <c r="J6" i="58"/>
  <c r="I6" i="58"/>
  <c r="N23" i="51"/>
  <c r="J23" i="51"/>
  <c r="I23" i="51"/>
  <c r="H23" i="51"/>
  <c r="F23" i="51"/>
  <c r="R22" i="51"/>
  <c r="Q22" i="51"/>
  <c r="P22" i="51"/>
  <c r="O22" i="51"/>
  <c r="N22" i="51"/>
  <c r="L22" i="51"/>
  <c r="J22" i="51"/>
  <c r="I22" i="51"/>
  <c r="H22" i="51"/>
  <c r="F22" i="51"/>
  <c r="R21" i="51"/>
  <c r="Q21" i="51"/>
  <c r="P21" i="51"/>
  <c r="O21" i="51"/>
  <c r="N21" i="51"/>
  <c r="L21" i="51"/>
  <c r="J21" i="51"/>
  <c r="I21" i="51"/>
  <c r="H21" i="51"/>
  <c r="F21" i="51"/>
  <c r="P20" i="51"/>
  <c r="O20" i="51"/>
  <c r="N20" i="51"/>
  <c r="L20" i="51"/>
  <c r="I20" i="51"/>
  <c r="H20" i="51"/>
  <c r="R19" i="51"/>
  <c r="Q19" i="51"/>
  <c r="P19" i="51"/>
  <c r="O19" i="51"/>
  <c r="N19" i="51"/>
  <c r="L19" i="51"/>
  <c r="J19" i="51"/>
  <c r="I19" i="51"/>
  <c r="H19" i="51"/>
  <c r="F19" i="51"/>
  <c r="P18" i="51"/>
  <c r="O18" i="51"/>
  <c r="N18" i="51"/>
  <c r="L18" i="51"/>
  <c r="I18" i="51"/>
  <c r="J18" i="51" s="1"/>
  <c r="F18" i="51" s="1"/>
  <c r="Q18" i="51" s="1"/>
  <c r="R18" i="51" s="1"/>
  <c r="H18" i="51"/>
  <c r="R17" i="51"/>
  <c r="Q17" i="51"/>
  <c r="P17" i="51"/>
  <c r="O17" i="51"/>
  <c r="N17" i="51"/>
  <c r="L17" i="51"/>
  <c r="J17" i="51"/>
  <c r="I17" i="51"/>
  <c r="H17" i="51"/>
  <c r="F17" i="51"/>
  <c r="P16" i="51"/>
  <c r="O16" i="51"/>
  <c r="N16" i="51"/>
  <c r="L16" i="51"/>
  <c r="I16" i="51"/>
  <c r="J16" i="51" s="1"/>
  <c r="F16" i="51" s="1"/>
  <c r="Q16" i="51" s="1"/>
  <c r="R16" i="51" s="1"/>
  <c r="H16" i="51"/>
  <c r="R15" i="51"/>
  <c r="Q15" i="51"/>
  <c r="P15" i="51"/>
  <c r="O15" i="51"/>
  <c r="N15" i="51"/>
  <c r="L15" i="51"/>
  <c r="J15" i="51"/>
  <c r="I15" i="51"/>
  <c r="H15" i="51"/>
  <c r="F15" i="51"/>
  <c r="R14" i="51"/>
  <c r="Q14" i="51"/>
  <c r="P14" i="51"/>
  <c r="O14" i="51"/>
  <c r="N14" i="51"/>
  <c r="L14" i="51"/>
  <c r="J14" i="51"/>
  <c r="I14" i="51"/>
  <c r="H14" i="51"/>
  <c r="F14" i="51"/>
  <c r="R13" i="51"/>
  <c r="Q13" i="51"/>
  <c r="P13" i="51"/>
  <c r="O13" i="51"/>
  <c r="N13" i="51"/>
  <c r="L13" i="51"/>
  <c r="J13" i="51"/>
  <c r="I13" i="51"/>
  <c r="H13" i="51"/>
  <c r="F13" i="51"/>
  <c r="R12" i="51"/>
  <c r="Q12" i="51"/>
  <c r="P12" i="51"/>
  <c r="O12" i="51"/>
  <c r="N12" i="51"/>
  <c r="L12" i="51"/>
  <c r="J12" i="51"/>
  <c r="I12" i="51"/>
  <c r="H12" i="51"/>
  <c r="F12" i="51"/>
  <c r="R11" i="51"/>
  <c r="Q11" i="51"/>
  <c r="P11" i="51"/>
  <c r="O11" i="51"/>
  <c r="N11" i="51"/>
  <c r="L11" i="51"/>
  <c r="J11" i="51"/>
  <c r="I11" i="51"/>
  <c r="H11" i="51"/>
  <c r="F11" i="51"/>
  <c r="R10" i="51"/>
  <c r="Q10" i="51"/>
  <c r="P10" i="51"/>
  <c r="O10" i="51"/>
  <c r="N10" i="51"/>
  <c r="L10" i="51"/>
  <c r="J10" i="51"/>
  <c r="I10" i="51"/>
  <c r="H10" i="51"/>
  <c r="F10" i="51"/>
  <c r="O9" i="51"/>
  <c r="P9" i="51" s="1"/>
  <c r="L9" i="51" s="1"/>
  <c r="N9" i="51"/>
  <c r="H9" i="51"/>
  <c r="N8" i="51"/>
  <c r="O8" i="51" s="1"/>
  <c r="H8" i="51"/>
  <c r="I8" i="51" s="1"/>
  <c r="J8" i="51" s="1"/>
  <c r="F8" i="51" s="1"/>
  <c r="N7" i="51"/>
  <c r="H7" i="51"/>
  <c r="I7" i="51" s="1"/>
  <c r="G65" i="12"/>
  <c r="G64" i="12"/>
  <c r="E64" i="12"/>
  <c r="G63" i="12"/>
  <c r="E38" i="12"/>
  <c r="E33" i="12"/>
  <c r="E32" i="12"/>
  <c r="G30" i="12"/>
  <c r="E30" i="12"/>
  <c r="E29" i="12"/>
  <c r="E27" i="12"/>
  <c r="E26" i="12"/>
  <c r="E25" i="12"/>
  <c r="E24" i="12"/>
  <c r="E23" i="12"/>
  <c r="E21" i="12"/>
  <c r="E20" i="12"/>
  <c r="E19" i="12"/>
  <c r="E18" i="12"/>
  <c r="E17" i="12"/>
  <c r="E16" i="12"/>
  <c r="E15" i="12"/>
  <c r="E14" i="12"/>
  <c r="E13" i="12"/>
  <c r="E12" i="12"/>
  <c r="E11" i="12"/>
  <c r="G9" i="12"/>
  <c r="G8" i="12"/>
  <c r="G7" i="12"/>
  <c r="G6" i="12"/>
  <c r="G5" i="12"/>
  <c r="G4" i="12"/>
  <c r="E24" i="11"/>
  <c r="E23" i="11"/>
  <c r="E22" i="11"/>
  <c r="E21" i="11"/>
  <c r="E20" i="11"/>
  <c r="E18" i="11"/>
  <c r="E12" i="11"/>
  <c r="E11" i="11"/>
  <c r="E10" i="11"/>
  <c r="E9" i="11"/>
  <c r="E8" i="11"/>
  <c r="E7" i="11"/>
  <c r="E6" i="11"/>
  <c r="E5" i="11"/>
  <c r="Q406" i="50"/>
  <c r="R406" i="50" s="1"/>
  <c r="Q405" i="50"/>
  <c r="R405" i="50" s="1"/>
  <c r="Q402" i="50"/>
  <c r="R402" i="50" s="1"/>
  <c r="P402" i="50"/>
  <c r="P401" i="50"/>
  <c r="Q401" i="50" s="1"/>
  <c r="P400" i="50"/>
  <c r="P399" i="50"/>
  <c r="Q399" i="50" s="1"/>
  <c r="R399" i="50" s="1"/>
  <c r="Q398" i="50"/>
  <c r="R398" i="50" s="1"/>
  <c r="P398" i="50"/>
  <c r="P397" i="50"/>
  <c r="Q397" i="50" s="1"/>
  <c r="Q394" i="50"/>
  <c r="R394" i="50" s="1"/>
  <c r="R393" i="50"/>
  <c r="J393" i="50" s="1"/>
  <c r="Q393" i="50"/>
  <c r="M393" i="50"/>
  <c r="K393" i="50"/>
  <c r="P391" i="50"/>
  <c r="P390" i="50"/>
  <c r="Q390" i="50" s="1"/>
  <c r="R390" i="50" s="1"/>
  <c r="Q389" i="50"/>
  <c r="R389" i="50" s="1"/>
  <c r="P389" i="50"/>
  <c r="P388" i="50"/>
  <c r="Q388" i="50" s="1"/>
  <c r="P387" i="50"/>
  <c r="P386" i="50"/>
  <c r="Q386" i="50" s="1"/>
  <c r="R386" i="50" s="1"/>
  <c r="Q385" i="50"/>
  <c r="R385" i="50" s="1"/>
  <c r="P385" i="50"/>
  <c r="P384" i="50"/>
  <c r="Q384" i="50" s="1"/>
  <c r="P383" i="50"/>
  <c r="P382" i="50"/>
  <c r="Q382" i="50" s="1"/>
  <c r="R382" i="50" s="1"/>
  <c r="Q381" i="50"/>
  <c r="R381" i="50" s="1"/>
  <c r="P381" i="50"/>
  <c r="P380" i="50"/>
  <c r="Q380" i="50" s="1"/>
  <c r="P379" i="50"/>
  <c r="Q377" i="50"/>
  <c r="R377" i="50" s="1"/>
  <c r="P374" i="50"/>
  <c r="Q373" i="50"/>
  <c r="P373" i="50"/>
  <c r="P375" i="50" s="1"/>
  <c r="P372" i="50"/>
  <c r="P370" i="50"/>
  <c r="Q370" i="50" s="1"/>
  <c r="P369" i="50"/>
  <c r="P368" i="50"/>
  <c r="Q368" i="50" s="1"/>
  <c r="R368" i="50" s="1"/>
  <c r="Q367" i="50"/>
  <c r="R367" i="50" s="1"/>
  <c r="P367" i="50"/>
  <c r="P366" i="50"/>
  <c r="Q366" i="50" s="1"/>
  <c r="P365" i="50"/>
  <c r="Q360" i="50"/>
  <c r="R360" i="50" s="1"/>
  <c r="P359" i="50"/>
  <c r="P358" i="50"/>
  <c r="P357" i="50"/>
  <c r="Q357" i="50" s="1"/>
  <c r="R357" i="50" s="1"/>
  <c r="Q356" i="50"/>
  <c r="R356" i="50" s="1"/>
  <c r="P356" i="50"/>
  <c r="R355" i="50"/>
  <c r="L355" i="50" s="1"/>
  <c r="Q355" i="50"/>
  <c r="K355" i="50"/>
  <c r="Q354" i="50"/>
  <c r="R354" i="50" s="1"/>
  <c r="R353" i="50"/>
  <c r="J353" i="50" s="1"/>
  <c r="Q353" i="50"/>
  <c r="L353" i="50"/>
  <c r="K353" i="50"/>
  <c r="H353" i="50"/>
  <c r="P352" i="50"/>
  <c r="O352" i="50"/>
  <c r="Q352" i="50" s="1"/>
  <c r="P351" i="50"/>
  <c r="P350" i="50"/>
  <c r="P349" i="50"/>
  <c r="P348" i="50"/>
  <c r="O348" i="50"/>
  <c r="Q348" i="50" s="1"/>
  <c r="P347" i="50"/>
  <c r="P346" i="50"/>
  <c r="P345" i="50"/>
  <c r="P344" i="50"/>
  <c r="P343" i="50"/>
  <c r="R341" i="50"/>
  <c r="L341" i="50" s="1"/>
  <c r="Q341" i="50"/>
  <c r="K341" i="50"/>
  <c r="Q340" i="50"/>
  <c r="R340" i="50" s="1"/>
  <c r="R339" i="50"/>
  <c r="J339" i="50" s="1"/>
  <c r="Q339" i="50"/>
  <c r="L339" i="50"/>
  <c r="K339" i="50"/>
  <c r="P338" i="50"/>
  <c r="Q338" i="50" s="1"/>
  <c r="O338" i="50"/>
  <c r="P337" i="50"/>
  <c r="Q337" i="50" s="1"/>
  <c r="O337" i="50"/>
  <c r="P336" i="50"/>
  <c r="R336" i="50" s="1"/>
  <c r="P335" i="50"/>
  <c r="P334" i="50"/>
  <c r="Q334" i="50" s="1"/>
  <c r="O334" i="50"/>
  <c r="P333" i="50"/>
  <c r="Q333" i="50" s="1"/>
  <c r="O333" i="50"/>
  <c r="O336" i="50" s="1"/>
  <c r="Q336" i="50" s="1"/>
  <c r="P332" i="50"/>
  <c r="Q332" i="50" s="1"/>
  <c r="O332" i="50"/>
  <c r="O335" i="50" s="1"/>
  <c r="Q335" i="50" s="1"/>
  <c r="P331" i="50"/>
  <c r="Q331" i="50" s="1"/>
  <c r="P330" i="50"/>
  <c r="R329" i="50"/>
  <c r="L329" i="50" s="1"/>
  <c r="Q329" i="50"/>
  <c r="K329" i="50"/>
  <c r="Q328" i="50"/>
  <c r="R328" i="50" s="1"/>
  <c r="R327" i="50"/>
  <c r="L327" i="50" s="1"/>
  <c r="Q327" i="50"/>
  <c r="K327" i="50"/>
  <c r="H327" i="50"/>
  <c r="Q326" i="50"/>
  <c r="R326" i="50" s="1"/>
  <c r="H326" i="50"/>
  <c r="Q324" i="50"/>
  <c r="P324" i="50"/>
  <c r="R324" i="50" s="1"/>
  <c r="P323" i="50"/>
  <c r="P322" i="50"/>
  <c r="P321" i="50"/>
  <c r="Q321" i="50" s="1"/>
  <c r="R321" i="50" s="1"/>
  <c r="Q320" i="50"/>
  <c r="P320" i="50"/>
  <c r="R317" i="50"/>
  <c r="Q317" i="50"/>
  <c r="A317" i="50"/>
  <c r="Q316" i="50"/>
  <c r="R316" i="50" s="1"/>
  <c r="A316" i="50"/>
  <c r="A315" i="50"/>
  <c r="R314" i="50"/>
  <c r="J314" i="50" s="1"/>
  <c r="Q314" i="50"/>
  <c r="K314" i="50"/>
  <c r="Q313" i="50"/>
  <c r="R313" i="50" s="1"/>
  <c r="R312" i="50"/>
  <c r="J312" i="50" s="1"/>
  <c r="Q312" i="50"/>
  <c r="L312" i="50"/>
  <c r="K312" i="50"/>
  <c r="Q311" i="50"/>
  <c r="R311" i="50" s="1"/>
  <c r="Q310" i="50"/>
  <c r="R310" i="50" s="1"/>
  <c r="Q309" i="50"/>
  <c r="R309" i="50" s="1"/>
  <c r="Q308" i="50"/>
  <c r="R308" i="50" s="1"/>
  <c r="Q307" i="50"/>
  <c r="R307" i="50" s="1"/>
  <c r="Q306" i="50"/>
  <c r="R306" i="50" s="1"/>
  <c r="Q305" i="50"/>
  <c r="R305" i="50" s="1"/>
  <c r="P305" i="50"/>
  <c r="O305" i="50"/>
  <c r="O351" i="50" s="1"/>
  <c r="Q351" i="50" s="1"/>
  <c r="Q304" i="50"/>
  <c r="R304" i="50" s="1"/>
  <c r="P304" i="50"/>
  <c r="O304" i="50"/>
  <c r="O350" i="50" s="1"/>
  <c r="Q350" i="50" s="1"/>
  <c r="Q303" i="50"/>
  <c r="R303" i="50" s="1"/>
  <c r="P303" i="50"/>
  <c r="O303" i="50"/>
  <c r="O349" i="50" s="1"/>
  <c r="Q349" i="50" s="1"/>
  <c r="R302" i="50"/>
  <c r="J302" i="50" s="1"/>
  <c r="Q302" i="50"/>
  <c r="O302" i="50"/>
  <c r="L302" i="50"/>
  <c r="P301" i="50"/>
  <c r="O301" i="50"/>
  <c r="O347" i="50" s="1"/>
  <c r="Q347" i="50" s="1"/>
  <c r="P300" i="50"/>
  <c r="O300" i="50"/>
  <c r="O346" i="50" s="1"/>
  <c r="Q346" i="50" s="1"/>
  <c r="P299" i="50"/>
  <c r="O299" i="50"/>
  <c r="O345" i="50" s="1"/>
  <c r="Q345" i="50" s="1"/>
  <c r="P298" i="50"/>
  <c r="O298" i="50"/>
  <c r="O344" i="50" s="1"/>
  <c r="Q344" i="50" s="1"/>
  <c r="P297" i="50"/>
  <c r="O297" i="50"/>
  <c r="O343" i="50" s="1"/>
  <c r="Q343" i="50" s="1"/>
  <c r="P295" i="50"/>
  <c r="P294" i="50"/>
  <c r="Q294" i="50" s="1"/>
  <c r="O294" i="50"/>
  <c r="P293" i="50"/>
  <c r="Q293" i="50" s="1"/>
  <c r="O293" i="50"/>
  <c r="P292" i="50"/>
  <c r="Q292" i="50" s="1"/>
  <c r="O292" i="50"/>
  <c r="P291" i="50"/>
  <c r="Q291" i="50" s="1"/>
  <c r="O291" i="50"/>
  <c r="P290" i="50"/>
  <c r="Q290" i="50" s="1"/>
  <c r="O290" i="50"/>
  <c r="O289" i="50"/>
  <c r="O288" i="50"/>
  <c r="O287" i="50"/>
  <c r="O286" i="50"/>
  <c r="Q284" i="50"/>
  <c r="R284" i="50" s="1"/>
  <c r="M283" i="50"/>
  <c r="L283" i="50"/>
  <c r="K283" i="50"/>
  <c r="J283" i="50"/>
  <c r="M282" i="50"/>
  <c r="L282" i="50"/>
  <c r="K282" i="50"/>
  <c r="J282" i="50"/>
  <c r="M281" i="50"/>
  <c r="L281" i="50"/>
  <c r="K281" i="50"/>
  <c r="J281" i="50"/>
  <c r="P258" i="50"/>
  <c r="P280" i="50" s="1"/>
  <c r="O258" i="50"/>
  <c r="Q258" i="50" s="1"/>
  <c r="R258" i="50" s="1"/>
  <c r="P257" i="50"/>
  <c r="P279" i="50" s="1"/>
  <c r="O257" i="50"/>
  <c r="Q257" i="50" s="1"/>
  <c r="R257" i="50" s="1"/>
  <c r="P256" i="50"/>
  <c r="P278" i="50" s="1"/>
  <c r="O256" i="50"/>
  <c r="Q256" i="50" s="1"/>
  <c r="R256" i="50" s="1"/>
  <c r="P255" i="50"/>
  <c r="P277" i="50" s="1"/>
  <c r="O255" i="50"/>
  <c r="Q255" i="50" s="1"/>
  <c r="R255" i="50" s="1"/>
  <c r="P254" i="50"/>
  <c r="P276" i="50" s="1"/>
  <c r="O254" i="50"/>
  <c r="Q254" i="50" s="1"/>
  <c r="R254" i="50" s="1"/>
  <c r="P253" i="50"/>
  <c r="P275" i="50" s="1"/>
  <c r="O253" i="50"/>
  <c r="Q253" i="50" s="1"/>
  <c r="R253" i="50" s="1"/>
  <c r="P252" i="50"/>
  <c r="P274" i="50" s="1"/>
  <c r="O252" i="50"/>
  <c r="Q252" i="50" s="1"/>
  <c r="R252" i="50" s="1"/>
  <c r="P251" i="50"/>
  <c r="P273" i="50" s="1"/>
  <c r="O251" i="50"/>
  <c r="Q251" i="50" s="1"/>
  <c r="R251" i="50" s="1"/>
  <c r="P250" i="50"/>
  <c r="P272" i="50" s="1"/>
  <c r="O250" i="50"/>
  <c r="Q250" i="50" s="1"/>
  <c r="R250" i="50" s="1"/>
  <c r="P249" i="50"/>
  <c r="P271" i="50" s="1"/>
  <c r="O249" i="50"/>
  <c r="Q249" i="50" s="1"/>
  <c r="R249" i="50" s="1"/>
  <c r="P248" i="50"/>
  <c r="P270" i="50" s="1"/>
  <c r="O248" i="50"/>
  <c r="Q248" i="50" s="1"/>
  <c r="R248" i="50" s="1"/>
  <c r="P247" i="50"/>
  <c r="P269" i="50" s="1"/>
  <c r="O247" i="50"/>
  <c r="Q247" i="50" s="1"/>
  <c r="R247" i="50" s="1"/>
  <c r="P246" i="50"/>
  <c r="P268" i="50" s="1"/>
  <c r="O246" i="50"/>
  <c r="Q246" i="50" s="1"/>
  <c r="R246" i="50" s="1"/>
  <c r="P245" i="50"/>
  <c r="P267" i="50" s="1"/>
  <c r="O245" i="50"/>
  <c r="Q245" i="50" s="1"/>
  <c r="R245" i="50" s="1"/>
  <c r="P244" i="50"/>
  <c r="P266" i="50" s="1"/>
  <c r="O244" i="50"/>
  <c r="Q244" i="50" s="1"/>
  <c r="R244" i="50" s="1"/>
  <c r="P243" i="50"/>
  <c r="P265" i="50" s="1"/>
  <c r="O243" i="50"/>
  <c r="Q243" i="50" s="1"/>
  <c r="R243" i="50" s="1"/>
  <c r="P242" i="50"/>
  <c r="P264" i="50" s="1"/>
  <c r="O242" i="50"/>
  <c r="Q242" i="50" s="1"/>
  <c r="R242" i="50" s="1"/>
  <c r="P241" i="50"/>
  <c r="P263" i="50" s="1"/>
  <c r="O241" i="50"/>
  <c r="Q241" i="50" s="1"/>
  <c r="R241" i="50" s="1"/>
  <c r="P240" i="50"/>
  <c r="P262" i="50" s="1"/>
  <c r="O240" i="50"/>
  <c r="Q240" i="50" s="1"/>
  <c r="R240" i="50" s="1"/>
  <c r="P239" i="50"/>
  <c r="P261" i="50" s="1"/>
  <c r="O239" i="50"/>
  <c r="Q239" i="50" s="1"/>
  <c r="R239" i="50" s="1"/>
  <c r="P238" i="50"/>
  <c r="P260" i="50" s="1"/>
  <c r="O238" i="50"/>
  <c r="Q238" i="50" s="1"/>
  <c r="R238" i="50" s="1"/>
  <c r="P237" i="50"/>
  <c r="P259" i="50" s="1"/>
  <c r="O237" i="50"/>
  <c r="Q237" i="50" s="1"/>
  <c r="R237" i="50" s="1"/>
  <c r="P235" i="50"/>
  <c r="Q235" i="50" s="1"/>
  <c r="O235" i="50"/>
  <c r="P234" i="50"/>
  <c r="Q234" i="50" s="1"/>
  <c r="O234" i="50"/>
  <c r="O232" i="50"/>
  <c r="O231" i="50"/>
  <c r="P230" i="50"/>
  <c r="R230" i="50" s="1"/>
  <c r="O230" i="50"/>
  <c r="Q230" i="50" s="1"/>
  <c r="P229" i="50"/>
  <c r="O229" i="50"/>
  <c r="Q229" i="50" s="1"/>
  <c r="P228" i="50"/>
  <c r="R228" i="50" s="1"/>
  <c r="O228" i="50"/>
  <c r="Q228" i="50" s="1"/>
  <c r="P227" i="50"/>
  <c r="O227" i="50"/>
  <c r="Q227" i="50" s="1"/>
  <c r="P226" i="50"/>
  <c r="R226" i="50" s="1"/>
  <c r="O226" i="50"/>
  <c r="Q226" i="50" s="1"/>
  <c r="L225" i="50"/>
  <c r="Q223" i="50"/>
  <c r="R223" i="50" s="1"/>
  <c r="Q222" i="50"/>
  <c r="R222" i="50" s="1"/>
  <c r="Q221" i="50"/>
  <c r="R221" i="50" s="1"/>
  <c r="P220" i="50"/>
  <c r="O220" i="50"/>
  <c r="P219" i="50"/>
  <c r="O219" i="50"/>
  <c r="P218" i="50"/>
  <c r="O218" i="50"/>
  <c r="P217" i="50"/>
  <c r="O217" i="50"/>
  <c r="Q216" i="50"/>
  <c r="R216" i="50" s="1"/>
  <c r="Q215" i="50"/>
  <c r="R215" i="50" s="1"/>
  <c r="O215" i="50"/>
  <c r="R214" i="50"/>
  <c r="M214" i="50" s="1"/>
  <c r="Q214" i="50"/>
  <c r="O214" i="50"/>
  <c r="L214" i="50"/>
  <c r="J214" i="50"/>
  <c r="Q213" i="50"/>
  <c r="R213" i="50" s="1"/>
  <c r="O213" i="50"/>
  <c r="R212" i="50"/>
  <c r="K212" i="50" s="1"/>
  <c r="Q212" i="50"/>
  <c r="O212" i="50"/>
  <c r="L212" i="50"/>
  <c r="Q211" i="50"/>
  <c r="P211" i="50"/>
  <c r="R211" i="50" s="1"/>
  <c r="P210" i="50"/>
  <c r="Q209" i="50"/>
  <c r="P209" i="50"/>
  <c r="R209" i="50" s="1"/>
  <c r="I209" i="50"/>
  <c r="Q208" i="50"/>
  <c r="P208" i="50"/>
  <c r="R208" i="50" s="1"/>
  <c r="H208" i="50"/>
  <c r="Q207" i="50"/>
  <c r="P207" i="50"/>
  <c r="R207" i="50" s="1"/>
  <c r="H207" i="50"/>
  <c r="Q206" i="50"/>
  <c r="R206" i="50" s="1"/>
  <c r="Q205" i="50"/>
  <c r="R205" i="50" s="1"/>
  <c r="Q204" i="50"/>
  <c r="R204" i="50" s="1"/>
  <c r="Q203" i="50"/>
  <c r="R203" i="50" s="1"/>
  <c r="Q202" i="50"/>
  <c r="R202" i="50" s="1"/>
  <c r="H202" i="50"/>
  <c r="R201" i="50"/>
  <c r="J201" i="50" s="1"/>
  <c r="Q201" i="50"/>
  <c r="M201" i="50"/>
  <c r="K201" i="50"/>
  <c r="R200" i="50"/>
  <c r="M200" i="50" s="1"/>
  <c r="Q200" i="50"/>
  <c r="K200" i="50"/>
  <c r="R199" i="50"/>
  <c r="J199" i="50" s="1"/>
  <c r="Q199" i="50"/>
  <c r="M199" i="50"/>
  <c r="K199" i="50"/>
  <c r="R198" i="50"/>
  <c r="M198" i="50" s="1"/>
  <c r="Q198" i="50"/>
  <c r="K198" i="50"/>
  <c r="R197" i="50"/>
  <c r="J197" i="50" s="1"/>
  <c r="Q197" i="50"/>
  <c r="M197" i="50"/>
  <c r="K197" i="50"/>
  <c r="R196" i="50"/>
  <c r="M196" i="50" s="1"/>
  <c r="Q196" i="50"/>
  <c r="K196" i="50"/>
  <c r="Q194" i="50"/>
  <c r="R194" i="50" s="1"/>
  <c r="K194" i="50" s="1"/>
  <c r="R193" i="50"/>
  <c r="M193" i="50" s="1"/>
  <c r="Q193" i="50"/>
  <c r="J193" i="50"/>
  <c r="R192" i="50"/>
  <c r="J192" i="50" s="1"/>
  <c r="Q192" i="50"/>
  <c r="L192" i="50"/>
  <c r="K192" i="50"/>
  <c r="Q191" i="50"/>
  <c r="R191" i="50" s="1"/>
  <c r="R190" i="50"/>
  <c r="J190" i="50" s="1"/>
  <c r="Q190" i="50"/>
  <c r="L190" i="50"/>
  <c r="K190" i="50"/>
  <c r="Q189" i="50"/>
  <c r="R189" i="50" s="1"/>
  <c r="R188" i="50"/>
  <c r="J188" i="50" s="1"/>
  <c r="Q188" i="50"/>
  <c r="L188" i="50"/>
  <c r="K188" i="50"/>
  <c r="Q187" i="50"/>
  <c r="R187" i="50" s="1"/>
  <c r="I187" i="50"/>
  <c r="R186" i="50"/>
  <c r="J186" i="50" s="1"/>
  <c r="Q186" i="50"/>
  <c r="M186" i="50"/>
  <c r="L186" i="50"/>
  <c r="K186" i="50"/>
  <c r="I186" i="50"/>
  <c r="R185" i="50"/>
  <c r="J185" i="50" s="1"/>
  <c r="Q185" i="50"/>
  <c r="L185" i="50"/>
  <c r="K185" i="50"/>
  <c r="Q184" i="50"/>
  <c r="R184" i="50" s="1"/>
  <c r="I184" i="50"/>
  <c r="R183" i="50"/>
  <c r="J183" i="50" s="1"/>
  <c r="Q183" i="50"/>
  <c r="M183" i="50"/>
  <c r="L183" i="50"/>
  <c r="K183" i="50"/>
  <c r="I183" i="50"/>
  <c r="R182" i="50"/>
  <c r="J182" i="50" s="1"/>
  <c r="Q182" i="50"/>
  <c r="L182" i="50"/>
  <c r="K182" i="50"/>
  <c r="Q181" i="50"/>
  <c r="R181" i="50" s="1"/>
  <c r="I181" i="50"/>
  <c r="R180" i="50"/>
  <c r="J180" i="50" s="1"/>
  <c r="Q180" i="50"/>
  <c r="M180" i="50"/>
  <c r="L180" i="50"/>
  <c r="K180" i="50"/>
  <c r="I180" i="50"/>
  <c r="R179" i="50"/>
  <c r="J179" i="50" s="1"/>
  <c r="Q179" i="50"/>
  <c r="L179" i="50"/>
  <c r="K179" i="50"/>
  <c r="Q178" i="50"/>
  <c r="R178" i="50" s="1"/>
  <c r="I178" i="50"/>
  <c r="R177" i="50"/>
  <c r="J177" i="50" s="1"/>
  <c r="Q177" i="50"/>
  <c r="M177" i="50"/>
  <c r="L177" i="50"/>
  <c r="K177" i="50"/>
  <c r="I177" i="50"/>
  <c r="R176" i="50"/>
  <c r="J176" i="50" s="1"/>
  <c r="Q176" i="50"/>
  <c r="L176" i="50"/>
  <c r="K176" i="50"/>
  <c r="I176" i="50"/>
  <c r="R175" i="50"/>
  <c r="J175" i="50" s="1"/>
  <c r="Q175" i="50"/>
  <c r="K175" i="50"/>
  <c r="R174" i="50"/>
  <c r="J174" i="50" s="1"/>
  <c r="Q174" i="50"/>
  <c r="M174" i="50"/>
  <c r="L174" i="50"/>
  <c r="K174" i="50"/>
  <c r="I174" i="50"/>
  <c r="R173" i="50"/>
  <c r="J173" i="50" s="1"/>
  <c r="Q173" i="50"/>
  <c r="L173" i="50"/>
  <c r="K173" i="50"/>
  <c r="Q172" i="50"/>
  <c r="R172" i="50" s="1"/>
  <c r="R171" i="50"/>
  <c r="J171" i="50" s="1"/>
  <c r="Q171" i="50"/>
  <c r="L171" i="50"/>
  <c r="K171" i="50"/>
  <c r="I171" i="50"/>
  <c r="R170" i="50"/>
  <c r="J170" i="50" s="1"/>
  <c r="Q170" i="50"/>
  <c r="K170" i="50"/>
  <c r="R169" i="50"/>
  <c r="J169" i="50" s="1"/>
  <c r="Q169" i="50"/>
  <c r="M169" i="50"/>
  <c r="L169" i="50"/>
  <c r="K169" i="50"/>
  <c r="I169" i="50"/>
  <c r="R168" i="50"/>
  <c r="J168" i="50" s="1"/>
  <c r="Q168" i="50"/>
  <c r="L168" i="50"/>
  <c r="K168" i="50"/>
  <c r="R166" i="50"/>
  <c r="J166" i="50" s="1"/>
  <c r="Q166" i="50"/>
  <c r="K166" i="50"/>
  <c r="Q165" i="50"/>
  <c r="R165" i="50" s="1"/>
  <c r="R164" i="50"/>
  <c r="J164" i="50" s="1"/>
  <c r="Q164" i="50"/>
  <c r="K164" i="50"/>
  <c r="Q163" i="50"/>
  <c r="R163" i="50" s="1"/>
  <c r="R162" i="50"/>
  <c r="J162" i="50" s="1"/>
  <c r="Q162" i="50"/>
  <c r="K162" i="50"/>
  <c r="Q161" i="50"/>
  <c r="R161" i="50" s="1"/>
  <c r="R160" i="50"/>
  <c r="J160" i="50" s="1"/>
  <c r="Q160" i="50"/>
  <c r="K160" i="50"/>
  <c r="Q159" i="50"/>
  <c r="R159" i="50" s="1"/>
  <c r="R158" i="50"/>
  <c r="K158" i="50" s="1"/>
  <c r="Q158" i="50"/>
  <c r="O158" i="50"/>
  <c r="L158" i="50"/>
  <c r="Q157" i="50"/>
  <c r="R157" i="50" s="1"/>
  <c r="O157" i="50"/>
  <c r="Q156" i="50"/>
  <c r="R156" i="50" s="1"/>
  <c r="O156" i="50"/>
  <c r="R155" i="50"/>
  <c r="J155" i="50" s="1"/>
  <c r="Q155" i="50"/>
  <c r="L155" i="50"/>
  <c r="K155" i="50"/>
  <c r="Q154" i="50"/>
  <c r="R154" i="50" s="1"/>
  <c r="R153" i="50"/>
  <c r="J153" i="50" s="1"/>
  <c r="Q153" i="50"/>
  <c r="L153" i="50"/>
  <c r="K153" i="50"/>
  <c r="Q152" i="50"/>
  <c r="R152" i="50" s="1"/>
  <c r="Q150" i="50"/>
  <c r="R150" i="50" s="1"/>
  <c r="R149" i="50"/>
  <c r="J149" i="50" s="1"/>
  <c r="Q149" i="50"/>
  <c r="L149" i="50"/>
  <c r="K149" i="50"/>
  <c r="Q148" i="50"/>
  <c r="R148" i="50" s="1"/>
  <c r="R147" i="50"/>
  <c r="J147" i="50" s="1"/>
  <c r="Q147" i="50"/>
  <c r="L147" i="50"/>
  <c r="K147" i="50"/>
  <c r="Q146" i="50"/>
  <c r="R146" i="50" s="1"/>
  <c r="I146" i="50"/>
  <c r="H146" i="50"/>
  <c r="Q145" i="50"/>
  <c r="R145" i="50" s="1"/>
  <c r="R144" i="50"/>
  <c r="J144" i="50" s="1"/>
  <c r="Q144" i="50"/>
  <c r="L144" i="50"/>
  <c r="K144" i="50"/>
  <c r="Q143" i="50"/>
  <c r="R143" i="50" s="1"/>
  <c r="R142" i="50"/>
  <c r="J142" i="50" s="1"/>
  <c r="Q142" i="50"/>
  <c r="L142" i="50"/>
  <c r="K142" i="50"/>
  <c r="Q141" i="50"/>
  <c r="R141" i="50" s="1"/>
  <c r="R140" i="50"/>
  <c r="J140" i="50" s="1"/>
  <c r="Q140" i="50"/>
  <c r="L140" i="50"/>
  <c r="K140" i="50"/>
  <c r="Q139" i="50"/>
  <c r="R139" i="50" s="1"/>
  <c r="R138" i="50"/>
  <c r="J138" i="50" s="1"/>
  <c r="Q138" i="50"/>
  <c r="L138" i="50"/>
  <c r="K138" i="50"/>
  <c r="I138" i="50"/>
  <c r="H138" i="50"/>
  <c r="Q136" i="50"/>
  <c r="R136" i="50" s="1"/>
  <c r="Q135" i="50"/>
  <c r="R135" i="50" s="1"/>
  <c r="Q134" i="50"/>
  <c r="R134" i="50" s="1"/>
  <c r="H134" i="50"/>
  <c r="R133" i="50"/>
  <c r="J133" i="50" s="1"/>
  <c r="Q133" i="50"/>
  <c r="M133" i="50"/>
  <c r="K133" i="50"/>
  <c r="R132" i="50"/>
  <c r="M132" i="50" s="1"/>
  <c r="Q132" i="50"/>
  <c r="K132" i="50"/>
  <c r="P131" i="50"/>
  <c r="Q130" i="50"/>
  <c r="R130" i="50" s="1"/>
  <c r="Q129" i="50"/>
  <c r="R129" i="50" s="1"/>
  <c r="Q128" i="50"/>
  <c r="R128" i="50" s="1"/>
  <c r="Q127" i="50"/>
  <c r="P127" i="50"/>
  <c r="R127" i="50" s="1"/>
  <c r="P126" i="50"/>
  <c r="Q125" i="50"/>
  <c r="R125" i="50" s="1"/>
  <c r="Q124" i="50"/>
  <c r="R124" i="50" s="1"/>
  <c r="H124" i="50"/>
  <c r="R123" i="50"/>
  <c r="J123" i="50" s="1"/>
  <c r="Q123" i="50"/>
  <c r="M123" i="50"/>
  <c r="K123" i="50"/>
  <c r="I123" i="50"/>
  <c r="H123" i="50"/>
  <c r="R122" i="50"/>
  <c r="J122" i="50" s="1"/>
  <c r="Q122" i="50"/>
  <c r="M122" i="50"/>
  <c r="K122" i="50"/>
  <c r="R121" i="50"/>
  <c r="M121" i="50" s="1"/>
  <c r="Q121" i="50"/>
  <c r="K121" i="50"/>
  <c r="R120" i="50"/>
  <c r="J120" i="50" s="1"/>
  <c r="Q120" i="50"/>
  <c r="M120" i="50"/>
  <c r="K120" i="50"/>
  <c r="H120" i="50"/>
  <c r="Q119" i="50"/>
  <c r="R119" i="50" s="1"/>
  <c r="H119" i="50"/>
  <c r="R118" i="50"/>
  <c r="L118" i="50" s="1"/>
  <c r="Q118" i="50"/>
  <c r="M118" i="50"/>
  <c r="K118" i="50"/>
  <c r="H118" i="50"/>
  <c r="Q117" i="50"/>
  <c r="R117" i="50" s="1"/>
  <c r="H117" i="50"/>
  <c r="R116" i="50"/>
  <c r="J116" i="50" s="1"/>
  <c r="Q116" i="50"/>
  <c r="K116" i="50"/>
  <c r="H116" i="50"/>
  <c r="P111" i="50"/>
  <c r="H109" i="50"/>
  <c r="P108" i="50"/>
  <c r="P113" i="50" s="1"/>
  <c r="Q107" i="50"/>
  <c r="P107" i="50"/>
  <c r="R107" i="50" s="1"/>
  <c r="H107" i="50"/>
  <c r="Q106" i="50"/>
  <c r="P106" i="50"/>
  <c r="R106" i="50" s="1"/>
  <c r="P105" i="50"/>
  <c r="H105" i="50"/>
  <c r="P104" i="50"/>
  <c r="P109" i="50" s="1"/>
  <c r="I104" i="50"/>
  <c r="H104" i="50"/>
  <c r="Q103" i="50"/>
  <c r="P103" i="50"/>
  <c r="R103" i="50" s="1"/>
  <c r="O103" i="50"/>
  <c r="Q102" i="50"/>
  <c r="P102" i="50"/>
  <c r="R102" i="50" s="1"/>
  <c r="P101" i="50"/>
  <c r="Q100" i="50"/>
  <c r="R100" i="50" s="1"/>
  <c r="P100" i="50"/>
  <c r="P99" i="50"/>
  <c r="Q99" i="50" s="1"/>
  <c r="R99" i="50" s="1"/>
  <c r="Q98" i="50"/>
  <c r="P98" i="50"/>
  <c r="R98" i="50" s="1"/>
  <c r="P97" i="50"/>
  <c r="Q96" i="50"/>
  <c r="R96" i="50" s="1"/>
  <c r="P96" i="50"/>
  <c r="P95" i="50"/>
  <c r="Q95" i="50" s="1"/>
  <c r="R95" i="50" s="1"/>
  <c r="Q94" i="50"/>
  <c r="R94" i="50" s="1"/>
  <c r="Q93" i="50"/>
  <c r="R93" i="50" s="1"/>
  <c r="Q92" i="50"/>
  <c r="R92" i="50" s="1"/>
  <c r="Q91" i="50"/>
  <c r="R91" i="50" s="1"/>
  <c r="Q90" i="50"/>
  <c r="R90" i="50" s="1"/>
  <c r="H90" i="50"/>
  <c r="R89" i="50"/>
  <c r="J89" i="50" s="1"/>
  <c r="Q89" i="50"/>
  <c r="M89" i="50"/>
  <c r="K89" i="50"/>
  <c r="R87" i="50"/>
  <c r="Q87" i="50"/>
  <c r="K87" i="50"/>
  <c r="P86" i="50"/>
  <c r="O86" i="50"/>
  <c r="O295" i="50" s="1"/>
  <c r="Q295" i="50" s="1"/>
  <c r="H86" i="50"/>
  <c r="Q85" i="50"/>
  <c r="R85" i="50" s="1"/>
  <c r="K85" i="50" s="1"/>
  <c r="R84" i="50"/>
  <c r="J84" i="50" s="1"/>
  <c r="Q84" i="50"/>
  <c r="M84" i="50"/>
  <c r="L84" i="50"/>
  <c r="K84" i="50"/>
  <c r="I84" i="50"/>
  <c r="H84" i="50"/>
  <c r="R83" i="50"/>
  <c r="J83" i="50" s="1"/>
  <c r="Q83" i="50"/>
  <c r="M83" i="50"/>
  <c r="L83" i="50"/>
  <c r="K83" i="50"/>
  <c r="Q82" i="50"/>
  <c r="R82" i="50" s="1"/>
  <c r="R81" i="50"/>
  <c r="J81" i="50" s="1"/>
  <c r="Q81" i="50"/>
  <c r="M81" i="50"/>
  <c r="L81" i="50"/>
  <c r="K81" i="50"/>
  <c r="R80" i="50"/>
  <c r="K80" i="50" s="1"/>
  <c r="Q80" i="50"/>
  <c r="R79" i="50"/>
  <c r="J79" i="50" s="1"/>
  <c r="Q79" i="50"/>
  <c r="M79" i="50"/>
  <c r="L79" i="50"/>
  <c r="K79" i="50"/>
  <c r="R78" i="50"/>
  <c r="Q78" i="50"/>
  <c r="K78" i="50"/>
  <c r="J78" i="50"/>
  <c r="R77" i="50"/>
  <c r="J77" i="50" s="1"/>
  <c r="Q77" i="50"/>
  <c r="M77" i="50"/>
  <c r="L77" i="50"/>
  <c r="K77" i="50"/>
  <c r="I77" i="50"/>
  <c r="H77" i="50"/>
  <c r="R76" i="50"/>
  <c r="J76" i="50" s="1"/>
  <c r="Q76" i="50"/>
  <c r="M76" i="50"/>
  <c r="L76" i="50"/>
  <c r="K76" i="50"/>
  <c r="R75" i="50"/>
  <c r="Q75" i="50"/>
  <c r="K75" i="50"/>
  <c r="J75" i="50"/>
  <c r="R74" i="50"/>
  <c r="J74" i="50" s="1"/>
  <c r="Q74" i="50"/>
  <c r="M74" i="50"/>
  <c r="L74" i="50"/>
  <c r="K74" i="50"/>
  <c r="H74" i="50"/>
  <c r="R73" i="50"/>
  <c r="M73" i="50" s="1"/>
  <c r="Q73" i="50"/>
  <c r="J73" i="50"/>
  <c r="Q72" i="50"/>
  <c r="R72" i="50" s="1"/>
  <c r="K72" i="50" s="1"/>
  <c r="H72" i="50"/>
  <c r="P71" i="50"/>
  <c r="O71" i="50"/>
  <c r="Q71" i="50" s="1"/>
  <c r="P70" i="50"/>
  <c r="O70" i="50"/>
  <c r="P69" i="50"/>
  <c r="P287" i="50" s="1"/>
  <c r="O69" i="50"/>
  <c r="Q69" i="50" s="1"/>
  <c r="P68" i="50"/>
  <c r="P286" i="50" s="1"/>
  <c r="O68" i="50"/>
  <c r="O233" i="50" s="1"/>
  <c r="R67" i="50"/>
  <c r="J67" i="50" s="1"/>
  <c r="Q67" i="50"/>
  <c r="M67" i="50"/>
  <c r="L67" i="50"/>
  <c r="K67" i="50"/>
  <c r="Q66" i="50"/>
  <c r="R66" i="50" s="1"/>
  <c r="Q65" i="50"/>
  <c r="R65" i="50" s="1"/>
  <c r="H65" i="50"/>
  <c r="R64" i="50"/>
  <c r="L64" i="50" s="1"/>
  <c r="Q64" i="50"/>
  <c r="K64" i="50"/>
  <c r="P60" i="50"/>
  <c r="P59" i="50"/>
  <c r="Q59" i="50" s="1"/>
  <c r="R59" i="50" s="1"/>
  <c r="H59" i="50"/>
  <c r="R58" i="50"/>
  <c r="J58" i="50" s="1"/>
  <c r="Q58" i="50"/>
  <c r="K58" i="50"/>
  <c r="Q57" i="50"/>
  <c r="R57" i="50" s="1"/>
  <c r="R56" i="50"/>
  <c r="J56" i="50" s="1"/>
  <c r="Q56" i="50"/>
  <c r="K56" i="50"/>
  <c r="H56" i="50"/>
  <c r="Q55" i="50"/>
  <c r="R55" i="50" s="1"/>
  <c r="R54" i="50"/>
  <c r="J54" i="50" s="1"/>
  <c r="Q54" i="50"/>
  <c r="M54" i="50"/>
  <c r="L54" i="50"/>
  <c r="K54" i="50"/>
  <c r="Q53" i="50"/>
  <c r="R53" i="50" s="1"/>
  <c r="H53" i="50"/>
  <c r="Q52" i="50"/>
  <c r="R52" i="50" s="1"/>
  <c r="R51" i="50"/>
  <c r="J51" i="50" s="1"/>
  <c r="Q51" i="50"/>
  <c r="K51" i="50"/>
  <c r="Q50" i="50"/>
  <c r="R50" i="50" s="1"/>
  <c r="R49" i="50"/>
  <c r="J49" i="50" s="1"/>
  <c r="Q49" i="50"/>
  <c r="K49" i="50"/>
  <c r="Q48" i="50"/>
  <c r="R48" i="50" s="1"/>
  <c r="R47" i="50"/>
  <c r="J47" i="50" s="1"/>
  <c r="Q47" i="50"/>
  <c r="K47" i="50"/>
  <c r="Q46" i="50"/>
  <c r="R46" i="50" s="1"/>
  <c r="P44" i="50"/>
  <c r="P43" i="50"/>
  <c r="O43" i="50"/>
  <c r="Q43" i="50" s="1"/>
  <c r="R43" i="50" s="1"/>
  <c r="P42" i="50"/>
  <c r="O42" i="50"/>
  <c r="Q42" i="50" s="1"/>
  <c r="R42" i="50" s="1"/>
  <c r="R41" i="50"/>
  <c r="K41" i="50" s="1"/>
  <c r="Q41" i="50"/>
  <c r="O41" i="50"/>
  <c r="L41" i="50"/>
  <c r="H41" i="50"/>
  <c r="R40" i="50"/>
  <c r="J40" i="50" s="1"/>
  <c r="Q40" i="50"/>
  <c r="K40" i="50"/>
  <c r="H40" i="50"/>
  <c r="Q39" i="50"/>
  <c r="R39" i="50" s="1"/>
  <c r="H39" i="50"/>
  <c r="Q38" i="50"/>
  <c r="R38" i="50" s="1"/>
  <c r="R37" i="50"/>
  <c r="K37" i="50" s="1"/>
  <c r="Q37" i="50"/>
  <c r="O37" i="50"/>
  <c r="L37" i="50"/>
  <c r="Q36" i="50"/>
  <c r="R36" i="50" s="1"/>
  <c r="R35" i="50"/>
  <c r="J35" i="50" s="1"/>
  <c r="Q35" i="50"/>
  <c r="M35" i="50"/>
  <c r="L35" i="50"/>
  <c r="K35" i="50"/>
  <c r="I35" i="50"/>
  <c r="R34" i="50"/>
  <c r="J34" i="50" s="1"/>
  <c r="Q34" i="50"/>
  <c r="K34" i="50"/>
  <c r="H34" i="50"/>
  <c r="Q33" i="50"/>
  <c r="R33" i="50" s="1"/>
  <c r="R32" i="50"/>
  <c r="J32" i="50" s="1"/>
  <c r="Q32" i="50"/>
  <c r="M32" i="50"/>
  <c r="L32" i="50"/>
  <c r="K32" i="50"/>
  <c r="R30" i="50"/>
  <c r="M30" i="50" s="1"/>
  <c r="Q30" i="50"/>
  <c r="K30" i="50"/>
  <c r="Q29" i="50"/>
  <c r="R29" i="50" s="1"/>
  <c r="R28" i="50"/>
  <c r="M28" i="50" s="1"/>
  <c r="Q28" i="50"/>
  <c r="Q27" i="50"/>
  <c r="R27" i="50" s="1"/>
  <c r="R26" i="50"/>
  <c r="M26" i="50" s="1"/>
  <c r="Q26" i="50"/>
  <c r="Q25" i="50"/>
  <c r="R25" i="50" s="1"/>
  <c r="R24" i="50"/>
  <c r="M24" i="50" s="1"/>
  <c r="Q24" i="50"/>
  <c r="Q23" i="50"/>
  <c r="R23" i="50" s="1"/>
  <c r="Q21" i="50"/>
  <c r="R21" i="50" s="1"/>
  <c r="Q20" i="50"/>
  <c r="R20" i="50" s="1"/>
  <c r="Q19" i="50"/>
  <c r="R19" i="50" s="1"/>
  <c r="Q18" i="50"/>
  <c r="R18" i="50" s="1"/>
  <c r="Q17" i="50"/>
  <c r="R17" i="50" s="1"/>
  <c r="Q16" i="50"/>
  <c r="R16" i="50" s="1"/>
  <c r="Q14" i="50"/>
  <c r="R14" i="50" s="1"/>
  <c r="P14" i="50"/>
  <c r="Q13" i="50"/>
  <c r="R13" i="50" s="1"/>
  <c r="P13" i="50"/>
  <c r="Q12" i="50"/>
  <c r="R12" i="50" s="1"/>
  <c r="P12" i="50"/>
  <c r="Q11" i="50"/>
  <c r="R11" i="50" s="1"/>
  <c r="R10" i="50"/>
  <c r="J10" i="50" s="1"/>
  <c r="Q10" i="50"/>
  <c r="L10" i="50"/>
  <c r="K10" i="50"/>
  <c r="Q9" i="50"/>
  <c r="R9" i="50" s="1"/>
  <c r="R8" i="50"/>
  <c r="J8" i="50" s="1"/>
  <c r="Q8" i="50"/>
  <c r="L8" i="50"/>
  <c r="K8" i="50"/>
  <c r="Q7" i="50"/>
  <c r="R7" i="50" s="1"/>
  <c r="R6" i="50"/>
  <c r="J6" i="50" s="1"/>
  <c r="Q6" i="50"/>
  <c r="L6" i="50"/>
  <c r="K6" i="50"/>
  <c r="O405" i="43"/>
  <c r="S404" i="43"/>
  <c r="M404" i="43" s="1"/>
  <c r="L404" i="43" s="1"/>
  <c r="K404" i="43" s="1"/>
  <c r="S403" i="43"/>
  <c r="M403" i="43" s="1"/>
  <c r="L403" i="43" s="1"/>
  <c r="K403" i="43" s="1"/>
  <c r="H403" i="43" s="1"/>
  <c r="S402" i="43"/>
  <c r="M402" i="43" s="1"/>
  <c r="L402" i="43" s="1"/>
  <c r="K402" i="43" s="1"/>
  <c r="S401" i="43"/>
  <c r="M401" i="43" s="1"/>
  <c r="L401" i="43" s="1"/>
  <c r="K401" i="43" s="1"/>
  <c r="H401" i="43" s="1"/>
  <c r="S400" i="43"/>
  <c r="M400" i="43" s="1"/>
  <c r="L400" i="43" s="1"/>
  <c r="K400" i="43" s="1"/>
  <c r="S399" i="43"/>
  <c r="M399" i="43" s="1"/>
  <c r="L399" i="43" s="1"/>
  <c r="K399" i="43" s="1"/>
  <c r="H399" i="43" s="1"/>
  <c r="S398" i="43"/>
  <c r="M398" i="43" s="1"/>
  <c r="L398" i="43" s="1"/>
  <c r="K398" i="43" s="1"/>
  <c r="O397" i="43"/>
  <c r="S397" i="43" s="1"/>
  <c r="O396" i="43"/>
  <c r="L395" i="43"/>
  <c r="I395" i="43"/>
  <c r="H395" i="43"/>
  <c r="L394" i="43"/>
  <c r="I394" i="43"/>
  <c r="H394" i="43"/>
  <c r="S393" i="43"/>
  <c r="M393" i="43" s="1"/>
  <c r="L393" i="43" s="1"/>
  <c r="K393" i="43" s="1"/>
  <c r="H393" i="43" s="1"/>
  <c r="S392" i="43"/>
  <c r="M392" i="43" s="1"/>
  <c r="L392" i="43" s="1"/>
  <c r="K392" i="43" s="1"/>
  <c r="S391" i="43"/>
  <c r="M391" i="43" s="1"/>
  <c r="L391" i="43" s="1"/>
  <c r="K391" i="43" s="1"/>
  <c r="H391" i="43" s="1"/>
  <c r="S390" i="43"/>
  <c r="M390" i="43" s="1"/>
  <c r="L390" i="43" s="1"/>
  <c r="K390" i="43" s="1"/>
  <c r="S389" i="43"/>
  <c r="M389" i="43" s="1"/>
  <c r="L389" i="43" s="1"/>
  <c r="K389" i="43" s="1"/>
  <c r="H389" i="43" s="1"/>
  <c r="L388" i="43"/>
  <c r="I388" i="43"/>
  <c r="H388" i="43"/>
  <c r="S387" i="43"/>
  <c r="M387" i="43" s="1"/>
  <c r="L387" i="43" s="1"/>
  <c r="K387" i="43" s="1"/>
  <c r="S386" i="43"/>
  <c r="M386" i="43" s="1"/>
  <c r="L386" i="43" s="1"/>
  <c r="K386" i="43" s="1"/>
  <c r="I386" i="43" s="1"/>
  <c r="S385" i="43"/>
  <c r="M385" i="43" s="1"/>
  <c r="L385" i="43" s="1"/>
  <c r="K385" i="43" s="1"/>
  <c r="M384" i="43"/>
  <c r="L384" i="43" s="1"/>
  <c r="K384" i="43" s="1"/>
  <c r="L383" i="43"/>
  <c r="S382" i="43"/>
  <c r="M382" i="43" s="1"/>
  <c r="L382" i="43" s="1"/>
  <c r="K382" i="43" s="1"/>
  <c r="S381" i="43"/>
  <c r="M381" i="43" s="1"/>
  <c r="L381" i="43" s="1"/>
  <c r="K381" i="43" s="1"/>
  <c r="I381" i="43" s="1"/>
  <c r="S380" i="43"/>
  <c r="M380" i="43" s="1"/>
  <c r="L380" i="43" s="1"/>
  <c r="K380" i="43" s="1"/>
  <c r="S379" i="43"/>
  <c r="M379" i="43" s="1"/>
  <c r="L379" i="43" s="1"/>
  <c r="K379" i="43" s="1"/>
  <c r="I379" i="43" s="1"/>
  <c r="S378" i="43"/>
  <c r="M378" i="43" s="1"/>
  <c r="L378" i="43" s="1"/>
  <c r="K378" i="43" s="1"/>
  <c r="M377" i="43"/>
  <c r="L377" i="43" s="1"/>
  <c r="K377" i="43" s="1"/>
  <c r="M376" i="43"/>
  <c r="L376" i="43" s="1"/>
  <c r="K376" i="43" s="1"/>
  <c r="S375" i="43"/>
  <c r="M375" i="43" s="1"/>
  <c r="L375" i="43" s="1"/>
  <c r="K375" i="43" s="1"/>
  <c r="I375" i="43" s="1"/>
  <c r="S374" i="43"/>
  <c r="M374" i="43" s="1"/>
  <c r="L374" i="43" s="1"/>
  <c r="K374" i="43" s="1"/>
  <c r="S373" i="43"/>
  <c r="M373" i="43" s="1"/>
  <c r="L373" i="43" s="1"/>
  <c r="K373" i="43" s="1"/>
  <c r="S372" i="43"/>
  <c r="M372" i="43" s="1"/>
  <c r="L372" i="43" s="1"/>
  <c r="K372" i="43" s="1"/>
  <c r="S371" i="43"/>
  <c r="M371" i="43" s="1"/>
  <c r="L371" i="43" s="1"/>
  <c r="K371" i="43" s="1"/>
  <c r="I371" i="43" s="1"/>
  <c r="S370" i="43"/>
  <c r="M370" i="43" s="1"/>
  <c r="L370" i="43" s="1"/>
  <c r="K370" i="43" s="1"/>
  <c r="S369" i="43"/>
  <c r="M369" i="43" s="1"/>
  <c r="L369" i="43" s="1"/>
  <c r="K369" i="43" s="1"/>
  <c r="S368" i="43"/>
  <c r="M368" i="43" s="1"/>
  <c r="L368" i="43" s="1"/>
  <c r="K368" i="43" s="1"/>
  <c r="S367" i="43"/>
  <c r="M367" i="43" s="1"/>
  <c r="L367" i="43" s="1"/>
  <c r="K367" i="43" s="1"/>
  <c r="I367" i="43" s="1"/>
  <c r="S366" i="43"/>
  <c r="M366" i="43" s="1"/>
  <c r="L366" i="43" s="1"/>
  <c r="K366" i="43" s="1"/>
  <c r="S365" i="43"/>
  <c r="M365" i="43" s="1"/>
  <c r="L365" i="43" s="1"/>
  <c r="K365" i="43" s="1"/>
  <c r="S364" i="43"/>
  <c r="M364" i="43" s="1"/>
  <c r="L364" i="43" s="1"/>
  <c r="K364" i="43" s="1"/>
  <c r="S363" i="43"/>
  <c r="M363" i="43" s="1"/>
  <c r="L363" i="43" s="1"/>
  <c r="K363" i="43" s="1"/>
  <c r="I363" i="43" s="1"/>
  <c r="S362" i="43"/>
  <c r="M362" i="43" s="1"/>
  <c r="L362" i="43" s="1"/>
  <c r="K362" i="43" s="1"/>
  <c r="S361" i="43"/>
  <c r="M361" i="43" s="1"/>
  <c r="L361" i="43" s="1"/>
  <c r="K361" i="43" s="1"/>
  <c r="S360" i="43"/>
  <c r="M360" i="43" s="1"/>
  <c r="L360" i="43" s="1"/>
  <c r="K360" i="43" s="1"/>
  <c r="L359" i="43"/>
  <c r="I359" i="43"/>
  <c r="H359" i="43"/>
  <c r="L358" i="43"/>
  <c r="I358" i="43"/>
  <c r="H358" i="43"/>
  <c r="L357" i="43"/>
  <c r="I357" i="43"/>
  <c r="H357" i="43"/>
  <c r="S356" i="43"/>
  <c r="M356" i="43" s="1"/>
  <c r="L356" i="43" s="1"/>
  <c r="K356" i="43" s="1"/>
  <c r="H356" i="43" s="1"/>
  <c r="S355" i="43"/>
  <c r="M355" i="43" s="1"/>
  <c r="L355" i="43" s="1"/>
  <c r="K355" i="43" s="1"/>
  <c r="S354" i="43"/>
  <c r="M354" i="43" s="1"/>
  <c r="L354" i="43" s="1"/>
  <c r="K354" i="43" s="1"/>
  <c r="H354" i="43" s="1"/>
  <c r="S353" i="43"/>
  <c r="M353" i="43" s="1"/>
  <c r="L353" i="43" s="1"/>
  <c r="K353" i="43" s="1"/>
  <c r="L352" i="43"/>
  <c r="I352" i="43"/>
  <c r="H352" i="43"/>
  <c r="L351" i="43"/>
  <c r="I351" i="43"/>
  <c r="H351" i="43"/>
  <c r="L350" i="43"/>
  <c r="I350" i="43"/>
  <c r="H350" i="43"/>
  <c r="S349" i="43"/>
  <c r="M349" i="43" s="1"/>
  <c r="L349" i="43" s="1"/>
  <c r="K349" i="43" s="1"/>
  <c r="S348" i="43"/>
  <c r="M348" i="43" s="1"/>
  <c r="L348" i="43" s="1"/>
  <c r="K348" i="43" s="1"/>
  <c r="I348" i="43" s="1"/>
  <c r="M347" i="43"/>
  <c r="L347" i="43" s="1"/>
  <c r="K347" i="43" s="1"/>
  <c r="L346" i="43"/>
  <c r="S345" i="43"/>
  <c r="M345" i="43" s="1"/>
  <c r="L345" i="43" s="1"/>
  <c r="K345" i="43" s="1"/>
  <c r="S344" i="43"/>
  <c r="M344" i="43" s="1"/>
  <c r="L344" i="43" s="1"/>
  <c r="K344" i="43" s="1"/>
  <c r="S343" i="43"/>
  <c r="M343" i="43" s="1"/>
  <c r="L343" i="43" s="1"/>
  <c r="K343" i="43" s="1"/>
  <c r="I343" i="43" s="1"/>
  <c r="L342" i="43"/>
  <c r="I342" i="43"/>
  <c r="H342" i="43"/>
  <c r="S341" i="43"/>
  <c r="M341" i="43" s="1"/>
  <c r="L341" i="43" s="1"/>
  <c r="K341" i="43" s="1"/>
  <c r="H341" i="43" s="1"/>
  <c r="S340" i="43"/>
  <c r="M340" i="43" s="1"/>
  <c r="L340" i="43" s="1"/>
  <c r="K340" i="43" s="1"/>
  <c r="S339" i="43"/>
  <c r="M339" i="43" s="1"/>
  <c r="L339" i="43" s="1"/>
  <c r="K339" i="43" s="1"/>
  <c r="H339" i="43" s="1"/>
  <c r="L338" i="43"/>
  <c r="I338" i="43"/>
  <c r="H338" i="43"/>
  <c r="M337" i="43"/>
  <c r="L337" i="43" s="1"/>
  <c r="K337" i="43" s="1"/>
  <c r="L336" i="43"/>
  <c r="S335" i="43"/>
  <c r="M335" i="43" s="1"/>
  <c r="L335" i="43" s="1"/>
  <c r="K335" i="43" s="1"/>
  <c r="S334" i="43"/>
  <c r="M334" i="43" s="1"/>
  <c r="L334" i="43" s="1"/>
  <c r="K334" i="43" s="1"/>
  <c r="O333" i="43"/>
  <c r="O332" i="43"/>
  <c r="O331" i="43"/>
  <c r="S331" i="43" s="1"/>
  <c r="M331" i="43" s="1"/>
  <c r="L331" i="43" s="1"/>
  <c r="K331" i="43" s="1"/>
  <c r="H331" i="43" s="1"/>
  <c r="O330" i="43"/>
  <c r="S330" i="43" s="1"/>
  <c r="M330" i="43" s="1"/>
  <c r="L330" i="43" s="1"/>
  <c r="K330" i="43" s="1"/>
  <c r="I330" i="43" s="1"/>
  <c r="S328" i="43"/>
  <c r="M328" i="43" s="1"/>
  <c r="L328" i="43" s="1"/>
  <c r="K328" i="43" s="1"/>
  <c r="O327" i="43"/>
  <c r="S327" i="43" s="1"/>
  <c r="O326" i="43"/>
  <c r="S326" i="43" s="1"/>
  <c r="O325" i="43"/>
  <c r="S325" i="43" s="1"/>
  <c r="O324" i="43"/>
  <c r="S324" i="43" s="1"/>
  <c r="L323" i="43"/>
  <c r="I323" i="43"/>
  <c r="H323" i="43"/>
  <c r="O321" i="43"/>
  <c r="S321" i="43" s="1"/>
  <c r="S320" i="43"/>
  <c r="M320" i="43" s="1"/>
  <c r="L320" i="43" s="1"/>
  <c r="K320" i="43" s="1"/>
  <c r="S319" i="43"/>
  <c r="M319" i="43" s="1"/>
  <c r="L319" i="43" s="1"/>
  <c r="K319" i="43" s="1"/>
  <c r="L318" i="43"/>
  <c r="I318" i="43"/>
  <c r="H318" i="43"/>
  <c r="S317" i="43"/>
  <c r="M317" i="43" s="1"/>
  <c r="L317" i="43" s="1"/>
  <c r="K317" i="43" s="1"/>
  <c r="S316" i="43"/>
  <c r="M316" i="43" s="1"/>
  <c r="L316" i="43" s="1"/>
  <c r="K316" i="43" s="1"/>
  <c r="S315" i="43"/>
  <c r="M315" i="43" s="1"/>
  <c r="L315" i="43" s="1"/>
  <c r="K315" i="43" s="1"/>
  <c r="S314" i="43"/>
  <c r="M314" i="43"/>
  <c r="L314" i="43" s="1"/>
  <c r="K314" i="43" s="1"/>
  <c r="S313" i="43"/>
  <c r="M313" i="43" s="1"/>
  <c r="L313" i="43" s="1"/>
  <c r="K313" i="43" s="1"/>
  <c r="S312" i="43"/>
  <c r="M312" i="43" s="1"/>
  <c r="L312" i="43" s="1"/>
  <c r="K312" i="43" s="1"/>
  <c r="S311" i="43"/>
  <c r="M311" i="43" s="1"/>
  <c r="L311" i="43" s="1"/>
  <c r="K311" i="43" s="1"/>
  <c r="S310" i="43"/>
  <c r="M310" i="43" s="1"/>
  <c r="L310" i="43" s="1"/>
  <c r="K310" i="43" s="1"/>
  <c r="S309" i="43"/>
  <c r="M309" i="43" s="1"/>
  <c r="L309" i="43" s="1"/>
  <c r="K309" i="43" s="1"/>
  <c r="S308" i="43"/>
  <c r="M308" i="43" s="1"/>
  <c r="L308" i="43" s="1"/>
  <c r="K308" i="43" s="1"/>
  <c r="S307" i="43"/>
  <c r="M307" i="43" s="1"/>
  <c r="L307" i="43" s="1"/>
  <c r="K307" i="43" s="1"/>
  <c r="S306" i="43"/>
  <c r="M306" i="43" s="1"/>
  <c r="L306" i="43" s="1"/>
  <c r="K306" i="43" s="1"/>
  <c r="L305" i="43"/>
  <c r="I305" i="43"/>
  <c r="H305" i="43"/>
  <c r="L304" i="43"/>
  <c r="I304" i="43"/>
  <c r="H304" i="43"/>
  <c r="S303" i="43"/>
  <c r="M303" i="43" s="1"/>
  <c r="L303" i="43" s="1"/>
  <c r="K303" i="43" s="1"/>
  <c r="S302" i="43"/>
  <c r="M302" i="43" s="1"/>
  <c r="L302" i="43" s="1"/>
  <c r="K302" i="43" s="1"/>
  <c r="L301" i="43"/>
  <c r="I301" i="43"/>
  <c r="H301" i="43"/>
  <c r="S300" i="43"/>
  <c r="M300" i="43" s="1"/>
  <c r="L300" i="43" s="1"/>
  <c r="K300" i="43" s="1"/>
  <c r="S299" i="43"/>
  <c r="M299" i="43" s="1"/>
  <c r="L299" i="43" s="1"/>
  <c r="K299" i="43" s="1"/>
  <c r="L298" i="43"/>
  <c r="I298" i="43"/>
  <c r="H298" i="43"/>
  <c r="S297" i="43"/>
  <c r="M297" i="43" s="1"/>
  <c r="L297" i="43" s="1"/>
  <c r="K297" i="43" s="1"/>
  <c r="S296" i="43"/>
  <c r="M296" i="43" s="1"/>
  <c r="L296" i="43" s="1"/>
  <c r="K296" i="43" s="1"/>
  <c r="L295" i="43"/>
  <c r="I295" i="43"/>
  <c r="H295" i="43"/>
  <c r="S294" i="43"/>
  <c r="M294" i="43" s="1"/>
  <c r="L294" i="43" s="1"/>
  <c r="K294" i="43" s="1"/>
  <c r="S293" i="43"/>
  <c r="M293" i="43" s="1"/>
  <c r="L293" i="43" s="1"/>
  <c r="K293" i="43" s="1"/>
  <c r="L292" i="43"/>
  <c r="I292" i="43"/>
  <c r="H292" i="43"/>
  <c r="L291" i="43"/>
  <c r="I291" i="43"/>
  <c r="H291" i="43"/>
  <c r="O290" i="43"/>
  <c r="S290" i="43" s="1"/>
  <c r="M290" i="43" s="1"/>
  <c r="L290" i="43" s="1"/>
  <c r="K290" i="43" s="1"/>
  <c r="O289" i="43"/>
  <c r="L288" i="43"/>
  <c r="I288" i="43"/>
  <c r="H288" i="43"/>
  <c r="O287" i="43"/>
  <c r="S287" i="43" s="1"/>
  <c r="O286" i="43"/>
  <c r="S286" i="43" s="1"/>
  <c r="M286" i="43" s="1"/>
  <c r="L286" i="43" s="1"/>
  <c r="K286" i="43" s="1"/>
  <c r="L285" i="43"/>
  <c r="I285" i="43"/>
  <c r="H285" i="43"/>
  <c r="S284" i="43"/>
  <c r="M284" i="43" s="1"/>
  <c r="L284" i="43" s="1"/>
  <c r="K284" i="43" s="1"/>
  <c r="H284" i="43" s="1"/>
  <c r="L283" i="43"/>
  <c r="I283" i="43"/>
  <c r="H283" i="43"/>
  <c r="S282" i="43"/>
  <c r="M282" i="43" s="1"/>
  <c r="L282" i="43" s="1"/>
  <c r="K282" i="43" s="1"/>
  <c r="L281" i="43"/>
  <c r="K281" i="43" s="1"/>
  <c r="O280" i="43"/>
  <c r="O279" i="43"/>
  <c r="M278" i="43"/>
  <c r="L278" i="43" s="1"/>
  <c r="K278" i="43" s="1"/>
  <c r="H278" i="43" s="1"/>
  <c r="S277" i="43"/>
  <c r="M277" i="43" s="1"/>
  <c r="L277" i="43" s="1"/>
  <c r="K277" i="43" s="1"/>
  <c r="S276" i="43"/>
  <c r="M276" i="43" s="1"/>
  <c r="L276" i="43" s="1"/>
  <c r="K276" i="43" s="1"/>
  <c r="L275" i="43"/>
  <c r="I275" i="43"/>
  <c r="H275" i="43"/>
  <c r="P274" i="43"/>
  <c r="L272" i="43"/>
  <c r="I272" i="43"/>
  <c r="H272" i="43"/>
  <c r="N271" i="43"/>
  <c r="N274" i="43" s="1"/>
  <c r="N270" i="43"/>
  <c r="N273" i="43" s="1"/>
  <c r="S269" i="43"/>
  <c r="M269" i="43" s="1"/>
  <c r="L269" i="43" s="1"/>
  <c r="K269" i="43" s="1"/>
  <c r="L268" i="43"/>
  <c r="I268" i="43"/>
  <c r="H268" i="43"/>
  <c r="S267" i="43"/>
  <c r="M267" i="43" s="1"/>
  <c r="L267" i="43" s="1"/>
  <c r="K267" i="43" s="1"/>
  <c r="O266" i="43"/>
  <c r="O265" i="43"/>
  <c r="S264" i="43"/>
  <c r="M264" i="43" s="1"/>
  <c r="L264" i="43" s="1"/>
  <c r="K264" i="43" s="1"/>
  <c r="L263" i="43"/>
  <c r="I263" i="43"/>
  <c r="H263" i="43"/>
  <c r="M262" i="43"/>
  <c r="L262" i="43" s="1"/>
  <c r="K262" i="43"/>
  <c r="L261" i="43"/>
  <c r="P260" i="43"/>
  <c r="O260" i="43"/>
  <c r="S259" i="43"/>
  <c r="P259" i="43"/>
  <c r="O259" i="43"/>
  <c r="P258" i="43"/>
  <c r="O258" i="43"/>
  <c r="O257" i="43"/>
  <c r="S257" i="43" s="1"/>
  <c r="M257" i="43" s="1"/>
  <c r="L257" i="43" s="1"/>
  <c r="K257" i="43" s="1"/>
  <c r="O256" i="43"/>
  <c r="S256" i="43" s="1"/>
  <c r="M256" i="43" s="1"/>
  <c r="L256" i="43" s="1"/>
  <c r="K256" i="43" s="1"/>
  <c r="O255" i="43"/>
  <c r="S255" i="43" s="1"/>
  <c r="M255" i="43" s="1"/>
  <c r="L255" i="43" s="1"/>
  <c r="K255" i="43" s="1"/>
  <c r="I255" i="43" s="1"/>
  <c r="O254" i="43"/>
  <c r="S253" i="43"/>
  <c r="M253" i="43" s="1"/>
  <c r="L253" i="43" s="1"/>
  <c r="K253" i="43" s="1"/>
  <c r="S252" i="43"/>
  <c r="M252" i="43" s="1"/>
  <c r="L252" i="43" s="1"/>
  <c r="K252" i="43" s="1"/>
  <c r="O251" i="43"/>
  <c r="I250" i="43"/>
  <c r="H250" i="43"/>
  <c r="S249" i="43"/>
  <c r="M249" i="43" s="1"/>
  <c r="L249" i="43" s="1"/>
  <c r="K249" i="43" s="1"/>
  <c r="S247" i="43"/>
  <c r="M247" i="43" s="1"/>
  <c r="L247" i="43" s="1"/>
  <c r="K247" i="43" s="1"/>
  <c r="S246" i="43"/>
  <c r="M246" i="43" s="1"/>
  <c r="L246" i="43" s="1"/>
  <c r="K246" i="43" s="1"/>
  <c r="O245" i="43"/>
  <c r="S245" i="43" s="1"/>
  <c r="M245" i="43" s="1"/>
  <c r="L245" i="43" s="1"/>
  <c r="K245" i="43" s="1"/>
  <c r="L244" i="43"/>
  <c r="I244" i="43"/>
  <c r="H244" i="43"/>
  <c r="S243" i="43"/>
  <c r="M243" i="43" s="1"/>
  <c r="L243" i="43" s="1"/>
  <c r="K243" i="43" s="1"/>
  <c r="O242" i="43"/>
  <c r="S242" i="43" s="1"/>
  <c r="M242" i="43" s="1"/>
  <c r="L242" i="43" s="1"/>
  <c r="K242" i="43" s="1"/>
  <c r="L241" i="43"/>
  <c r="I241" i="43"/>
  <c r="H241" i="43"/>
  <c r="S240" i="43"/>
  <c r="M240" i="43" s="1"/>
  <c r="L240" i="43" s="1"/>
  <c r="K240" i="43" s="1"/>
  <c r="H240" i="43" s="1"/>
  <c r="S239" i="43"/>
  <c r="M239" i="43" s="1"/>
  <c r="L239" i="43" s="1"/>
  <c r="K239" i="43" s="1"/>
  <c r="O238" i="43"/>
  <c r="S238" i="43" s="1"/>
  <c r="L237" i="43"/>
  <c r="I237" i="43"/>
  <c r="H237" i="43"/>
  <c r="L236" i="43"/>
  <c r="I236" i="43"/>
  <c r="H236" i="43"/>
  <c r="S235" i="43"/>
  <c r="M235" i="43" s="1"/>
  <c r="L235" i="43" s="1"/>
  <c r="K235" i="43" s="1"/>
  <c r="S234" i="43"/>
  <c r="M234" i="43" s="1"/>
  <c r="L234" i="43" s="1"/>
  <c r="K234" i="43" s="1"/>
  <c r="O233" i="43"/>
  <c r="L232" i="43"/>
  <c r="I232" i="43"/>
  <c r="H232" i="43"/>
  <c r="L231" i="43"/>
  <c r="I231" i="43"/>
  <c r="H231" i="43"/>
  <c r="S230" i="43"/>
  <c r="M230" i="43" s="1"/>
  <c r="L230" i="43" s="1"/>
  <c r="K230" i="43" s="1"/>
  <c r="O229" i="43"/>
  <c r="S229" i="43" s="1"/>
  <c r="L228" i="43"/>
  <c r="I228" i="43"/>
  <c r="H228" i="43"/>
  <c r="S227" i="43"/>
  <c r="M227" i="43" s="1"/>
  <c r="L227" i="43" s="1"/>
  <c r="K227" i="43" s="1"/>
  <c r="O226" i="43"/>
  <c r="S226" i="43" s="1"/>
  <c r="S225" i="43"/>
  <c r="M225" i="43" s="1"/>
  <c r="L225" i="43" s="1"/>
  <c r="K225" i="43" s="1"/>
  <c r="O224" i="43"/>
  <c r="S224" i="43" s="1"/>
  <c r="L223" i="43"/>
  <c r="I223" i="43"/>
  <c r="H223" i="43"/>
  <c r="L222" i="43"/>
  <c r="I222" i="43"/>
  <c r="H222" i="43"/>
  <c r="S221" i="43"/>
  <c r="M221" i="43" s="1"/>
  <c r="L221" i="43" s="1"/>
  <c r="K221" i="43" s="1"/>
  <c r="O220" i="43"/>
  <c r="L219" i="43"/>
  <c r="I219" i="43"/>
  <c r="H219" i="43"/>
  <c r="S218" i="43"/>
  <c r="M218" i="43" s="1"/>
  <c r="L218" i="43" s="1"/>
  <c r="K218" i="43" s="1"/>
  <c r="P217" i="43"/>
  <c r="O217" i="43"/>
  <c r="S216" i="43"/>
  <c r="M216" i="43" s="1"/>
  <c r="L216" i="43" s="1"/>
  <c r="K216" i="43" s="1"/>
  <c r="S215" i="43"/>
  <c r="M215" i="43" s="1"/>
  <c r="L215" i="43" s="1"/>
  <c r="K215" i="43" s="1"/>
  <c r="O214" i="43"/>
  <c r="S214" i="43" s="1"/>
  <c r="L213" i="43"/>
  <c r="I213" i="43"/>
  <c r="H213" i="43"/>
  <c r="S212" i="43"/>
  <c r="M212" i="43" s="1"/>
  <c r="L212" i="43" s="1"/>
  <c r="K212" i="43" s="1"/>
  <c r="S211" i="43"/>
  <c r="M211" i="43" s="1"/>
  <c r="L211" i="43" s="1"/>
  <c r="K211" i="43" s="1"/>
  <c r="L210" i="43"/>
  <c r="I210" i="43"/>
  <c r="H210" i="43"/>
  <c r="O209" i="43"/>
  <c r="S209" i="43" s="1"/>
  <c r="M209" i="43" s="1"/>
  <c r="L209" i="43" s="1"/>
  <c r="K209" i="43" s="1"/>
  <c r="S208" i="43"/>
  <c r="M208" i="43" s="1"/>
  <c r="L208" i="43" s="1"/>
  <c r="K208" i="43" s="1"/>
  <c r="O207" i="43"/>
  <c r="S207" i="43" s="1"/>
  <c r="M207" i="43" s="1"/>
  <c r="L207" i="43" s="1"/>
  <c r="K207" i="43" s="1"/>
  <c r="L206" i="43"/>
  <c r="I206" i="43"/>
  <c r="H206" i="43"/>
  <c r="S205" i="43"/>
  <c r="M205" i="43" s="1"/>
  <c r="L205" i="43" s="1"/>
  <c r="K205" i="43" s="1"/>
  <c r="O204" i="43"/>
  <c r="S204" i="43" s="1"/>
  <c r="M204" i="43" s="1"/>
  <c r="L204" i="43" s="1"/>
  <c r="K204" i="43" s="1"/>
  <c r="S203" i="43"/>
  <c r="M203" i="43" s="1"/>
  <c r="L203" i="43" s="1"/>
  <c r="K203" i="43" s="1"/>
  <c r="O202" i="43"/>
  <c r="S202" i="43" s="1"/>
  <c r="L201" i="43"/>
  <c r="I201" i="43"/>
  <c r="H201" i="43"/>
  <c r="L200" i="43"/>
  <c r="I200" i="43"/>
  <c r="H200" i="43"/>
  <c r="O199" i="43"/>
  <c r="S199" i="43" s="1"/>
  <c r="S198" i="43"/>
  <c r="M198" i="43"/>
  <c r="L198" i="43" s="1"/>
  <c r="K198" i="43" s="1"/>
  <c r="I198" i="43" s="1"/>
  <c r="O197" i="43"/>
  <c r="S197" i="43" s="1"/>
  <c r="L196" i="43"/>
  <c r="I196" i="43"/>
  <c r="H196" i="43"/>
  <c r="L195" i="43"/>
  <c r="I195" i="43"/>
  <c r="H195" i="43"/>
  <c r="O194" i="43"/>
  <c r="S194" i="43" s="1"/>
  <c r="M194" i="43" s="1"/>
  <c r="L194" i="43" s="1"/>
  <c r="K194" i="43" s="1"/>
  <c r="O193" i="43"/>
  <c r="M193" i="43" s="1"/>
  <c r="L193" i="43" s="1"/>
  <c r="K193" i="43" s="1"/>
  <c r="H193" i="43" s="1"/>
  <c r="L192" i="43"/>
  <c r="I192" i="43"/>
  <c r="H192" i="43"/>
  <c r="S191" i="43"/>
  <c r="M191" i="43" s="1"/>
  <c r="L191" i="43" s="1"/>
  <c r="K191" i="43" s="1"/>
  <c r="S190" i="43"/>
  <c r="M190" i="43" s="1"/>
  <c r="L190" i="43" s="1"/>
  <c r="K190" i="43" s="1"/>
  <c r="O189" i="43"/>
  <c r="S189" i="43" s="1"/>
  <c r="M189" i="43" s="1"/>
  <c r="L189" i="43" s="1"/>
  <c r="K189" i="43" s="1"/>
  <c r="L188" i="43"/>
  <c r="I188" i="43"/>
  <c r="H188" i="43"/>
  <c r="L187" i="43"/>
  <c r="I187" i="43"/>
  <c r="H187" i="43"/>
  <c r="S186" i="43"/>
  <c r="M186" i="43" s="1"/>
  <c r="L186" i="43" s="1"/>
  <c r="K186" i="43" s="1"/>
  <c r="S185" i="43"/>
  <c r="M185" i="43" s="1"/>
  <c r="L185" i="43" s="1"/>
  <c r="K185" i="43" s="1"/>
  <c r="H185" i="43" s="1"/>
  <c r="S184" i="43"/>
  <c r="M184" i="43" s="1"/>
  <c r="L184" i="43" s="1"/>
  <c r="K184" i="43" s="1"/>
  <c r="I184" i="43" s="1"/>
  <c r="O183" i="43"/>
  <c r="S183" i="43" s="1"/>
  <c r="L182" i="43"/>
  <c r="I182" i="43"/>
  <c r="H182" i="43"/>
  <c r="S181" i="43"/>
  <c r="M181" i="43" s="1"/>
  <c r="L181" i="43" s="1"/>
  <c r="K181" i="43" s="1"/>
  <c r="S180" i="43"/>
  <c r="M180" i="43" s="1"/>
  <c r="L180" i="43" s="1"/>
  <c r="K180" i="43" s="1"/>
  <c r="O179" i="43"/>
  <c r="S179" i="43" s="1"/>
  <c r="M179" i="43" s="1"/>
  <c r="L179" i="43" s="1"/>
  <c r="K179" i="43" s="1"/>
  <c r="I179" i="43" s="1"/>
  <c r="L178" i="43"/>
  <c r="I178" i="43"/>
  <c r="H178" i="43"/>
  <c r="O177" i="43"/>
  <c r="N177" i="43"/>
  <c r="L176" i="43"/>
  <c r="I176" i="43"/>
  <c r="H176" i="43"/>
  <c r="O175" i="43"/>
  <c r="S174" i="43"/>
  <c r="M174" i="43" s="1"/>
  <c r="L174" i="43" s="1"/>
  <c r="K174" i="43" s="1"/>
  <c r="S173" i="43"/>
  <c r="M173" i="43" s="1"/>
  <c r="L173" i="43" s="1"/>
  <c r="K173" i="43" s="1"/>
  <c r="O171" i="43"/>
  <c r="S170" i="43"/>
  <c r="M170" i="43" s="1"/>
  <c r="L170" i="43" s="1"/>
  <c r="K170" i="43" s="1"/>
  <c r="O169" i="43"/>
  <c r="S169" i="43" s="1"/>
  <c r="M169" i="43" s="1"/>
  <c r="L169" i="43" s="1"/>
  <c r="K169" i="43" s="1"/>
  <c r="S168" i="43"/>
  <c r="M168" i="43" s="1"/>
  <c r="L168" i="43" s="1"/>
  <c r="K168" i="43" s="1"/>
  <c r="I168" i="43" s="1"/>
  <c r="O167" i="43"/>
  <c r="L166" i="43"/>
  <c r="I166" i="43"/>
  <c r="H166" i="43"/>
  <c r="P165" i="43"/>
  <c r="O165" i="43"/>
  <c r="L164" i="43"/>
  <c r="I164" i="43"/>
  <c r="H164" i="43"/>
  <c r="O163" i="43"/>
  <c r="S163" i="43" s="1"/>
  <c r="M163" i="43" s="1"/>
  <c r="L163" i="43" s="1"/>
  <c r="K163" i="43" s="1"/>
  <c r="O162" i="43"/>
  <c r="S161" i="43"/>
  <c r="M161" i="43" s="1"/>
  <c r="L161" i="43" s="1"/>
  <c r="K161" i="43" s="1"/>
  <c r="O160" i="43"/>
  <c r="S160" i="43" s="1"/>
  <c r="S159" i="43"/>
  <c r="M159" i="43"/>
  <c r="L159" i="43" s="1"/>
  <c r="K159" i="43" s="1"/>
  <c r="O158" i="43"/>
  <c r="M157" i="43"/>
  <c r="L157" i="43" s="1"/>
  <c r="K157" i="43" s="1"/>
  <c r="I157" i="43" s="1"/>
  <c r="P156" i="43"/>
  <c r="O156" i="43"/>
  <c r="M155" i="43"/>
  <c r="L155" i="43"/>
  <c r="K155" i="43" s="1"/>
  <c r="H155" i="43" s="1"/>
  <c r="S154" i="43"/>
  <c r="M154" i="43" s="1"/>
  <c r="L154" i="43" s="1"/>
  <c r="K154" i="43" s="1"/>
  <c r="S153" i="43"/>
  <c r="M153" i="43" s="1"/>
  <c r="L153" i="43" s="1"/>
  <c r="K153" i="43" s="1"/>
  <c r="O153" i="43"/>
  <c r="L152" i="43"/>
  <c r="I152" i="43"/>
  <c r="H152" i="43"/>
  <c r="S151" i="43"/>
  <c r="M151" i="43" s="1"/>
  <c r="L151" i="43" s="1"/>
  <c r="K151" i="43" s="1"/>
  <c r="O150" i="43"/>
  <c r="S150" i="43" s="1"/>
  <c r="M150" i="43" s="1"/>
  <c r="L150" i="43" s="1"/>
  <c r="K150" i="43" s="1"/>
  <c r="S149" i="43"/>
  <c r="M149" i="43" s="1"/>
  <c r="L149" i="43" s="1"/>
  <c r="K149" i="43" s="1"/>
  <c r="O148" i="43"/>
  <c r="L147" i="43"/>
  <c r="I147" i="43"/>
  <c r="H147" i="43"/>
  <c r="P146" i="43"/>
  <c r="O146" i="43"/>
  <c r="L145" i="43"/>
  <c r="I145" i="43"/>
  <c r="H145" i="43"/>
  <c r="M144" i="43"/>
  <c r="L144" i="43" s="1"/>
  <c r="K144" i="43"/>
  <c r="S143" i="43"/>
  <c r="M143" i="43" s="1"/>
  <c r="L143" i="43" s="1"/>
  <c r="K143" i="43" s="1"/>
  <c r="S142" i="43"/>
  <c r="M142" i="43" s="1"/>
  <c r="L142" i="43" s="1"/>
  <c r="K142" i="43" s="1"/>
  <c r="S141" i="43"/>
  <c r="M141" i="43" s="1"/>
  <c r="L141" i="43" s="1"/>
  <c r="K141" i="43" s="1"/>
  <c r="S140" i="43"/>
  <c r="M140" i="43" s="1"/>
  <c r="L140" i="43" s="1"/>
  <c r="K140" i="43" s="1"/>
  <c r="S139" i="43"/>
  <c r="M139" i="43"/>
  <c r="L139" i="43" s="1"/>
  <c r="K139" i="43" s="1"/>
  <c r="S138" i="43"/>
  <c r="M138" i="43" s="1"/>
  <c r="L138" i="43" s="1"/>
  <c r="K138" i="43" s="1"/>
  <c r="O137" i="43"/>
  <c r="S136" i="43"/>
  <c r="M136" i="43" s="1"/>
  <c r="L136" i="43" s="1"/>
  <c r="K136" i="43" s="1"/>
  <c r="H136" i="43" s="1"/>
  <c r="O135" i="43"/>
  <c r="S134" i="43"/>
  <c r="M134" i="43" s="1"/>
  <c r="L134" i="43" s="1"/>
  <c r="K134" i="43" s="1"/>
  <c r="O133" i="43"/>
  <c r="S132" i="43"/>
  <c r="M132" i="43" s="1"/>
  <c r="L132" i="43" s="1"/>
  <c r="K132" i="43" s="1"/>
  <c r="S131" i="43"/>
  <c r="M131" i="43" s="1"/>
  <c r="L131" i="43" s="1"/>
  <c r="K131" i="43" s="1"/>
  <c r="O131" i="43"/>
  <c r="S130" i="43"/>
  <c r="M130" i="43" s="1"/>
  <c r="L130" i="43" s="1"/>
  <c r="K130" i="43" s="1"/>
  <c r="O129" i="43"/>
  <c r="S129" i="43" s="1"/>
  <c r="S128" i="43"/>
  <c r="M128" i="43" s="1"/>
  <c r="L128" i="43" s="1"/>
  <c r="K128" i="43" s="1"/>
  <c r="S127" i="43"/>
  <c r="M127" i="43" s="1"/>
  <c r="L127" i="43" s="1"/>
  <c r="K127" i="43" s="1"/>
  <c r="S126" i="43"/>
  <c r="M126" i="43" s="1"/>
  <c r="L126" i="43" s="1"/>
  <c r="K126" i="43" s="1"/>
  <c r="O126" i="43"/>
  <c r="S125" i="43"/>
  <c r="M125" i="43" s="1"/>
  <c r="L125" i="43" s="1"/>
  <c r="K125" i="43" s="1"/>
  <c r="O124" i="43"/>
  <c r="S124" i="43" s="1"/>
  <c r="I123" i="43"/>
  <c r="H123" i="43"/>
  <c r="S122" i="43"/>
  <c r="M122" i="43" s="1"/>
  <c r="L122" i="43" s="1"/>
  <c r="K122" i="43" s="1"/>
  <c r="I121" i="43"/>
  <c r="H121" i="43"/>
  <c r="S120" i="43"/>
  <c r="M120" i="43" s="1"/>
  <c r="L120" i="43" s="1"/>
  <c r="K120" i="43" s="1"/>
  <c r="I120" i="43" s="1"/>
  <c r="P119" i="43"/>
  <c r="O119" i="43"/>
  <c r="S118" i="43"/>
  <c r="M118" i="43" s="1"/>
  <c r="L118" i="43" s="1"/>
  <c r="K118" i="43" s="1"/>
  <c r="N117" i="43"/>
  <c r="S117" i="43" s="1"/>
  <c r="O116" i="43"/>
  <c r="S116" i="43" s="1"/>
  <c r="O115" i="43"/>
  <c r="S115" i="43" s="1"/>
  <c r="M115" i="43" s="1"/>
  <c r="L115" i="43" s="1"/>
  <c r="K115" i="43" s="1"/>
  <c r="S114" i="43"/>
  <c r="M114" i="43" s="1"/>
  <c r="L114" i="43" s="1"/>
  <c r="K114" i="43" s="1"/>
  <c r="O113" i="43"/>
  <c r="S113" i="43" s="1"/>
  <c r="S112" i="43"/>
  <c r="M112" i="43" s="1"/>
  <c r="L112" i="43" s="1"/>
  <c r="K112" i="43" s="1"/>
  <c r="S111" i="43"/>
  <c r="M111" i="43" s="1"/>
  <c r="L111" i="43" s="1"/>
  <c r="K111" i="43" s="1"/>
  <c r="S110" i="43"/>
  <c r="M110" i="43" s="1"/>
  <c r="L110" i="43" s="1"/>
  <c r="K110" i="43" s="1"/>
  <c r="P109" i="43"/>
  <c r="O109" i="43"/>
  <c r="S108" i="43"/>
  <c r="M108" i="43" s="1"/>
  <c r="L108" i="43" s="1"/>
  <c r="K108" i="43" s="1"/>
  <c r="S107" i="43"/>
  <c r="M107" i="43" s="1"/>
  <c r="L107" i="43" s="1"/>
  <c r="K107" i="43" s="1"/>
  <c r="O106" i="43"/>
  <c r="S105" i="43"/>
  <c r="M105" i="43" s="1"/>
  <c r="L105" i="43" s="1"/>
  <c r="K105" i="43" s="1"/>
  <c r="O104" i="43"/>
  <c r="S104" i="43" s="1"/>
  <c r="S103" i="43"/>
  <c r="M103" i="43"/>
  <c r="L103" i="43" s="1"/>
  <c r="K103" i="43" s="1"/>
  <c r="O102" i="43"/>
  <c r="S102" i="43" s="1"/>
  <c r="S101" i="43"/>
  <c r="M101" i="43" s="1"/>
  <c r="L101" i="43" s="1"/>
  <c r="K101" i="43" s="1"/>
  <c r="P100" i="43"/>
  <c r="O100" i="43"/>
  <c r="P99" i="43"/>
  <c r="O99" i="43"/>
  <c r="I98" i="43"/>
  <c r="H98" i="43"/>
  <c r="S97" i="43"/>
  <c r="M97" i="43" s="1"/>
  <c r="L97" i="43" s="1"/>
  <c r="K97" i="43" s="1"/>
  <c r="S96" i="43"/>
  <c r="M96" i="43" s="1"/>
  <c r="L96" i="43" s="1"/>
  <c r="K96" i="43" s="1"/>
  <c r="O95" i="43"/>
  <c r="S95" i="43" s="1"/>
  <c r="S94" i="43"/>
  <c r="M94" i="43" s="1"/>
  <c r="L94" i="43" s="1"/>
  <c r="K94" i="43" s="1"/>
  <c r="O93" i="43"/>
  <c r="S93" i="43" s="1"/>
  <c r="I92" i="43"/>
  <c r="H92" i="43"/>
  <c r="P91" i="43"/>
  <c r="N91" i="43"/>
  <c r="P90" i="43"/>
  <c r="O90" i="43"/>
  <c r="N90" i="43"/>
  <c r="S89" i="43"/>
  <c r="M89" i="43" s="1"/>
  <c r="L89" i="43" s="1"/>
  <c r="K89" i="43" s="1"/>
  <c r="S88" i="43"/>
  <c r="M88" i="43" s="1"/>
  <c r="L88" i="43" s="1"/>
  <c r="K88" i="43" s="1"/>
  <c r="P87" i="43"/>
  <c r="P86" i="43"/>
  <c r="O86" i="43"/>
  <c r="O87" i="43" s="1"/>
  <c r="S85" i="43"/>
  <c r="M85" i="43" s="1"/>
  <c r="L85" i="43" s="1"/>
  <c r="K85" i="43" s="1"/>
  <c r="O84" i="43"/>
  <c r="S84" i="43" s="1"/>
  <c r="S83" i="43"/>
  <c r="M83" i="43" s="1"/>
  <c r="L83" i="43" s="1"/>
  <c r="K83" i="43" s="1"/>
  <c r="S82" i="43"/>
  <c r="M82" i="43" s="1"/>
  <c r="L82" i="43" s="1"/>
  <c r="K82" i="43" s="1"/>
  <c r="O81" i="43"/>
  <c r="S81" i="43" s="1"/>
  <c r="S80" i="43"/>
  <c r="M80" i="43" s="1"/>
  <c r="L80" i="43" s="1"/>
  <c r="K80" i="43" s="1"/>
  <c r="O79" i="43"/>
  <c r="S79" i="43" s="1"/>
  <c r="I78" i="43"/>
  <c r="H78" i="43"/>
  <c r="S77" i="43"/>
  <c r="M77" i="43" s="1"/>
  <c r="L77" i="43" s="1"/>
  <c r="K77" i="43" s="1"/>
  <c r="O76" i="43"/>
  <c r="S76" i="43" s="1"/>
  <c r="I75" i="43"/>
  <c r="H75" i="43"/>
  <c r="S74" i="43"/>
  <c r="M74" i="43" s="1"/>
  <c r="L74" i="43" s="1"/>
  <c r="K74" i="43" s="1"/>
  <c r="S73" i="43"/>
  <c r="M73" i="43" s="1"/>
  <c r="L73" i="43" s="1"/>
  <c r="K73" i="43" s="1"/>
  <c r="S72" i="43"/>
  <c r="M72" i="43" s="1"/>
  <c r="L72" i="43" s="1"/>
  <c r="K72" i="43" s="1"/>
  <c r="Q71" i="43"/>
  <c r="P71" i="43"/>
  <c r="N71" i="43"/>
  <c r="Q70" i="43"/>
  <c r="P70" i="43"/>
  <c r="Q69" i="43"/>
  <c r="P69" i="43"/>
  <c r="Q68" i="43"/>
  <c r="P68" i="43"/>
  <c r="Q67" i="43"/>
  <c r="P67" i="43"/>
  <c r="Q66" i="43"/>
  <c r="P66" i="43"/>
  <c r="Q65" i="43"/>
  <c r="P65" i="43"/>
  <c r="Q64" i="43"/>
  <c r="P64" i="43"/>
  <c r="Q63" i="43"/>
  <c r="P63" i="43"/>
  <c r="Q62" i="43"/>
  <c r="P62" i="43"/>
  <c r="S61" i="43"/>
  <c r="M61" i="43" s="1"/>
  <c r="L61" i="43" s="1"/>
  <c r="K61" i="43" s="1"/>
  <c r="S60" i="43"/>
  <c r="M60" i="43" s="1"/>
  <c r="L60" i="43" s="1"/>
  <c r="K60" i="43" s="1"/>
  <c r="O59" i="43"/>
  <c r="S59" i="43" s="1"/>
  <c r="M59" i="43" s="1"/>
  <c r="L59" i="43" s="1"/>
  <c r="K59" i="43" s="1"/>
  <c r="S58" i="43"/>
  <c r="M58" i="43" s="1"/>
  <c r="L58" i="43" s="1"/>
  <c r="K58" i="43" s="1"/>
  <c r="O57" i="43"/>
  <c r="S57" i="43" s="1"/>
  <c r="O56" i="43"/>
  <c r="S56" i="43" s="1"/>
  <c r="M56" i="43" s="1"/>
  <c r="L56" i="43" s="1"/>
  <c r="K56" i="43" s="1"/>
  <c r="O55" i="43"/>
  <c r="S55" i="43" s="1"/>
  <c r="M55" i="43" s="1"/>
  <c r="L55" i="43" s="1"/>
  <c r="K55" i="43" s="1"/>
  <c r="O53" i="43"/>
  <c r="S53" i="43" s="1"/>
  <c r="O52" i="43"/>
  <c r="Q52" i="43" s="1"/>
  <c r="P51" i="43"/>
  <c r="P50" i="43"/>
  <c r="P49" i="43"/>
  <c r="P48" i="43"/>
  <c r="Q47" i="43"/>
  <c r="P47" i="43"/>
  <c r="P52" i="43" s="1"/>
  <c r="O47" i="43"/>
  <c r="N47" i="43"/>
  <c r="P46" i="43"/>
  <c r="P45" i="43"/>
  <c r="P44" i="43"/>
  <c r="P43" i="43"/>
  <c r="P42" i="43"/>
  <c r="P41" i="43"/>
  <c r="P40" i="43"/>
  <c r="P39" i="43"/>
  <c r="P38" i="43"/>
  <c r="P37" i="43"/>
  <c r="P36" i="43"/>
  <c r="S35" i="43"/>
  <c r="M35" i="43" s="1"/>
  <c r="L35" i="43" s="1"/>
  <c r="K35" i="43" s="1"/>
  <c r="S34" i="43"/>
  <c r="M34" i="43" s="1"/>
  <c r="L34" i="43" s="1"/>
  <c r="K34" i="43" s="1"/>
  <c r="Q33" i="43"/>
  <c r="Q32" i="43"/>
  <c r="Q31" i="43"/>
  <c r="Q30" i="43"/>
  <c r="Q29" i="43"/>
  <c r="Q28" i="43"/>
  <c r="Q27" i="43"/>
  <c r="Q26" i="43"/>
  <c r="Q25" i="43"/>
  <c r="Q24" i="43"/>
  <c r="Q23" i="43"/>
  <c r="Q22" i="43"/>
  <c r="Q21" i="43"/>
  <c r="Q20" i="43"/>
  <c r="Q19" i="43"/>
  <c r="Q18" i="43"/>
  <c r="Q17" i="43"/>
  <c r="Q16" i="43"/>
  <c r="Q15" i="43"/>
  <c r="Q14" i="43"/>
  <c r="Q13" i="43"/>
  <c r="Q12" i="43"/>
  <c r="Q11" i="43"/>
  <c r="Q10" i="43"/>
  <c r="Q9" i="43"/>
  <c r="Q8" i="43"/>
  <c r="Q7" i="43"/>
  <c r="Q6" i="43"/>
  <c r="S329" i="26"/>
  <c r="M329" i="26" s="1"/>
  <c r="L329" i="26" s="1"/>
  <c r="K329" i="26" s="1"/>
  <c r="O329" i="26"/>
  <c r="O328" i="26"/>
  <c r="O327" i="26"/>
  <c r="S327" i="26" s="1"/>
  <c r="M327" i="26" s="1"/>
  <c r="L327" i="26" s="1"/>
  <c r="K327" i="26" s="1"/>
  <c r="O326" i="26"/>
  <c r="S326" i="26" s="1"/>
  <c r="O325" i="26"/>
  <c r="S325" i="26" s="1"/>
  <c r="O324" i="26"/>
  <c r="O323" i="26"/>
  <c r="S323" i="26" s="1"/>
  <c r="O322" i="26"/>
  <c r="S322" i="26" s="1"/>
  <c r="S321" i="26"/>
  <c r="M321" i="26" s="1"/>
  <c r="L321" i="26" s="1"/>
  <c r="K321" i="26" s="1"/>
  <c r="H321" i="26" s="1"/>
  <c r="S320" i="26"/>
  <c r="M320" i="26" s="1"/>
  <c r="L320" i="26" s="1"/>
  <c r="K320" i="26" s="1"/>
  <c r="S319" i="26"/>
  <c r="M319" i="26" s="1"/>
  <c r="L319" i="26" s="1"/>
  <c r="K319" i="26" s="1"/>
  <c r="H319" i="26" s="1"/>
  <c r="S318" i="26"/>
  <c r="M318" i="26" s="1"/>
  <c r="L318" i="26" s="1"/>
  <c r="K318" i="26" s="1"/>
  <c r="S317" i="26"/>
  <c r="M317" i="26" s="1"/>
  <c r="L317" i="26" s="1"/>
  <c r="K317" i="26" s="1"/>
  <c r="H317" i="26" s="1"/>
  <c r="S316" i="26"/>
  <c r="M316" i="26" s="1"/>
  <c r="L316" i="26" s="1"/>
  <c r="K316" i="26" s="1"/>
  <c r="S315" i="26"/>
  <c r="M315" i="26" s="1"/>
  <c r="L315" i="26" s="1"/>
  <c r="K315" i="26" s="1"/>
  <c r="H315" i="26" s="1"/>
  <c r="S314" i="26"/>
  <c r="M314" i="26" s="1"/>
  <c r="L314" i="26" s="1"/>
  <c r="K314" i="26" s="1"/>
  <c r="S313" i="26"/>
  <c r="M313" i="26" s="1"/>
  <c r="L313" i="26" s="1"/>
  <c r="K313" i="26" s="1"/>
  <c r="H313" i="26" s="1"/>
  <c r="S312" i="26"/>
  <c r="M312" i="26" s="1"/>
  <c r="L312" i="26" s="1"/>
  <c r="K312" i="26" s="1"/>
  <c r="S311" i="26"/>
  <c r="M311" i="26" s="1"/>
  <c r="L311" i="26" s="1"/>
  <c r="K311" i="26" s="1"/>
  <c r="H311" i="26" s="1"/>
  <c r="S310" i="26"/>
  <c r="M310" i="26" s="1"/>
  <c r="L310" i="26" s="1"/>
  <c r="K310" i="26" s="1"/>
  <c r="I310" i="26" s="1"/>
  <c r="O310" i="26"/>
  <c r="O309" i="26"/>
  <c r="S309" i="26" s="1"/>
  <c r="S308" i="26"/>
  <c r="M308" i="26" s="1"/>
  <c r="L308" i="26" s="1"/>
  <c r="K308" i="26" s="1"/>
  <c r="O308" i="26"/>
  <c r="O307" i="26"/>
  <c r="S306" i="26"/>
  <c r="O306" i="26"/>
  <c r="M306" i="26" s="1"/>
  <c r="L306" i="26" s="1"/>
  <c r="K306" i="26" s="1"/>
  <c r="I306" i="26" s="1"/>
  <c r="S305" i="26"/>
  <c r="M305" i="26" s="1"/>
  <c r="L305" i="26" s="1"/>
  <c r="K305" i="26" s="1"/>
  <c r="S304" i="26"/>
  <c r="M304" i="26" s="1"/>
  <c r="L304" i="26" s="1"/>
  <c r="K304" i="26" s="1"/>
  <c r="S303" i="26"/>
  <c r="M303" i="26"/>
  <c r="L303" i="26" s="1"/>
  <c r="K303" i="26" s="1"/>
  <c r="S302" i="26"/>
  <c r="M302" i="26" s="1"/>
  <c r="L302" i="26" s="1"/>
  <c r="K302" i="26" s="1"/>
  <c r="S301" i="26"/>
  <c r="M301" i="26" s="1"/>
  <c r="L301" i="26" s="1"/>
  <c r="K301" i="26" s="1"/>
  <c r="S300" i="26"/>
  <c r="M300" i="26" s="1"/>
  <c r="L300" i="26" s="1"/>
  <c r="K300" i="26" s="1"/>
  <c r="S299" i="26"/>
  <c r="M299" i="26" s="1"/>
  <c r="L299" i="26" s="1"/>
  <c r="K299" i="26" s="1"/>
  <c r="I299" i="26" s="1"/>
  <c r="S298" i="26"/>
  <c r="M298" i="26" s="1"/>
  <c r="L298" i="26" s="1"/>
  <c r="K298" i="26" s="1"/>
  <c r="S297" i="26"/>
  <c r="M297" i="26"/>
  <c r="L297" i="26" s="1"/>
  <c r="K297" i="26" s="1"/>
  <c r="I297" i="26" s="1"/>
  <c r="S296" i="26"/>
  <c r="M296" i="26" s="1"/>
  <c r="L296" i="26" s="1"/>
  <c r="K296" i="26" s="1"/>
  <c r="S295" i="26"/>
  <c r="M295" i="26"/>
  <c r="L295" i="26" s="1"/>
  <c r="K295" i="26" s="1"/>
  <c r="M294" i="26"/>
  <c r="L294" i="26" s="1"/>
  <c r="K294" i="26" s="1"/>
  <c r="S293" i="26"/>
  <c r="M293" i="26" s="1"/>
  <c r="L293" i="26" s="1"/>
  <c r="K293" i="26" s="1"/>
  <c r="H293" i="26" s="1"/>
  <c r="I293" i="26"/>
  <c r="S292" i="26"/>
  <c r="M292" i="26" s="1"/>
  <c r="L292" i="26" s="1"/>
  <c r="K292" i="26" s="1"/>
  <c r="I291" i="26"/>
  <c r="H291" i="26"/>
  <c r="S290" i="26"/>
  <c r="M290" i="26" s="1"/>
  <c r="L290" i="26" s="1"/>
  <c r="K290" i="26" s="1"/>
  <c r="S289" i="26"/>
  <c r="M289" i="26" s="1"/>
  <c r="L289" i="26" s="1"/>
  <c r="K289" i="26" s="1"/>
  <c r="H289" i="26" s="1"/>
  <c r="S288" i="26"/>
  <c r="M288" i="26" s="1"/>
  <c r="L288" i="26" s="1"/>
  <c r="K288" i="26" s="1"/>
  <c r="L287" i="26"/>
  <c r="I287" i="26"/>
  <c r="H287" i="26"/>
  <c r="S286" i="26"/>
  <c r="M286" i="26" s="1"/>
  <c r="L286" i="26" s="1"/>
  <c r="K286" i="26" s="1"/>
  <c r="L285" i="26"/>
  <c r="L284" i="26"/>
  <c r="I284" i="26"/>
  <c r="H284" i="26"/>
  <c r="S283" i="26"/>
  <c r="M283" i="26" s="1"/>
  <c r="L283" i="26" s="1"/>
  <c r="K283" i="26" s="1"/>
  <c r="S282" i="26"/>
  <c r="M282" i="26" s="1"/>
  <c r="L282" i="26" s="1"/>
  <c r="K282" i="26" s="1"/>
  <c r="O282" i="26"/>
  <c r="S280" i="26"/>
  <c r="M280" i="26"/>
  <c r="L280" i="26" s="1"/>
  <c r="K280" i="26" s="1"/>
  <c r="I280" i="26" s="1"/>
  <c r="O279" i="26"/>
  <c r="S279" i="26" s="1"/>
  <c r="O278" i="26"/>
  <c r="S278" i="26" s="1"/>
  <c r="M278" i="26" s="1"/>
  <c r="L278" i="26" s="1"/>
  <c r="K278" i="26" s="1"/>
  <c r="L277" i="26"/>
  <c r="I277" i="26"/>
  <c r="H277" i="26"/>
  <c r="L276" i="26"/>
  <c r="I276" i="26"/>
  <c r="H276" i="26"/>
  <c r="S275" i="26"/>
  <c r="M275" i="26" s="1"/>
  <c r="L275" i="26" s="1"/>
  <c r="K275" i="26" s="1"/>
  <c r="L274" i="26"/>
  <c r="I274" i="26"/>
  <c r="H274" i="26"/>
  <c r="S273" i="26"/>
  <c r="M273" i="26" s="1"/>
  <c r="L273" i="26" s="1"/>
  <c r="K273" i="26" s="1"/>
  <c r="O272" i="26"/>
  <c r="S272" i="26" s="1"/>
  <c r="M272" i="26" s="1"/>
  <c r="L272" i="26" s="1"/>
  <c r="K272" i="26" s="1"/>
  <c r="I271" i="26"/>
  <c r="H271" i="26"/>
  <c r="O270" i="26"/>
  <c r="S270" i="26" s="1"/>
  <c r="S269" i="26"/>
  <c r="M269" i="26" s="1"/>
  <c r="L269" i="26" s="1"/>
  <c r="K269" i="26" s="1"/>
  <c r="H269" i="26" s="1"/>
  <c r="L268" i="26"/>
  <c r="I268" i="26"/>
  <c r="H268" i="26"/>
  <c r="S267" i="26"/>
  <c r="M267" i="26" s="1"/>
  <c r="L267" i="26" s="1"/>
  <c r="K267" i="26" s="1"/>
  <c r="N266" i="26"/>
  <c r="L265" i="26"/>
  <c r="I265" i="26"/>
  <c r="H265" i="26"/>
  <c r="L264" i="26"/>
  <c r="I264" i="26"/>
  <c r="H264" i="26"/>
  <c r="S263" i="26"/>
  <c r="M263" i="26" s="1"/>
  <c r="L263" i="26" s="1"/>
  <c r="K263" i="26" s="1"/>
  <c r="H263" i="26" s="1"/>
  <c r="L261" i="26"/>
  <c r="I261" i="26"/>
  <c r="H261" i="26"/>
  <c r="S260" i="26"/>
  <c r="M260" i="26" s="1"/>
  <c r="L260" i="26" s="1"/>
  <c r="K260" i="26" s="1"/>
  <c r="O259" i="26"/>
  <c r="S257" i="26"/>
  <c r="M257" i="26" s="1"/>
  <c r="L257" i="26" s="1"/>
  <c r="K257" i="26" s="1"/>
  <c r="S256" i="26"/>
  <c r="M256" i="26" s="1"/>
  <c r="L256" i="26" s="1"/>
  <c r="K256" i="26" s="1"/>
  <c r="H256" i="26" s="1"/>
  <c r="S255" i="26"/>
  <c r="M255" i="26" s="1"/>
  <c r="L255" i="26" s="1"/>
  <c r="K255" i="26" s="1"/>
  <c r="L254" i="26"/>
  <c r="I254" i="26"/>
  <c r="H254" i="26"/>
  <c r="S253" i="26"/>
  <c r="M253" i="26" s="1"/>
  <c r="L253" i="26" s="1"/>
  <c r="K253" i="26" s="1"/>
  <c r="S252" i="26"/>
  <c r="M252" i="26" s="1"/>
  <c r="L252" i="26" s="1"/>
  <c r="K252" i="26" s="1"/>
  <c r="S251" i="26"/>
  <c r="M251" i="26" s="1"/>
  <c r="L251" i="26" s="1"/>
  <c r="K251" i="26" s="1"/>
  <c r="I251" i="26" s="1"/>
  <c r="S250" i="26"/>
  <c r="M250" i="26"/>
  <c r="L250" i="26" s="1"/>
  <c r="K250" i="26" s="1"/>
  <c r="S249" i="26"/>
  <c r="M249" i="26" s="1"/>
  <c r="L249" i="26" s="1"/>
  <c r="K249" i="26" s="1"/>
  <c r="S248" i="26"/>
  <c r="M248" i="26" s="1"/>
  <c r="L248" i="26" s="1"/>
  <c r="K248" i="26" s="1"/>
  <c r="I247" i="26"/>
  <c r="H247" i="26"/>
  <c r="O246" i="26"/>
  <c r="I245" i="26"/>
  <c r="H245" i="26"/>
  <c r="P244" i="26"/>
  <c r="O244" i="26"/>
  <c r="S242" i="26"/>
  <c r="M242" i="26" s="1"/>
  <c r="L242" i="26" s="1"/>
  <c r="K242" i="26" s="1"/>
  <c r="H242" i="26" s="1"/>
  <c r="S241" i="26"/>
  <c r="M241" i="26" s="1"/>
  <c r="L241" i="26" s="1"/>
  <c r="K241" i="26" s="1"/>
  <c r="S240" i="26"/>
  <c r="M240" i="26" s="1"/>
  <c r="L240" i="26" s="1"/>
  <c r="K240" i="26" s="1"/>
  <c r="I240" i="26" s="1"/>
  <c r="S239" i="26"/>
  <c r="M239" i="26" s="1"/>
  <c r="L239" i="26" s="1"/>
  <c r="K239" i="26" s="1"/>
  <c r="S238" i="26"/>
  <c r="O238" i="26"/>
  <c r="S237" i="26"/>
  <c r="M237" i="26" s="1"/>
  <c r="L237" i="26" s="1"/>
  <c r="K237" i="26" s="1"/>
  <c r="S236" i="26"/>
  <c r="M236" i="26" s="1"/>
  <c r="L236" i="26" s="1"/>
  <c r="K236" i="26" s="1"/>
  <c r="O235" i="26"/>
  <c r="S235" i="26" s="1"/>
  <c r="S234" i="26"/>
  <c r="M234" i="26" s="1"/>
  <c r="L234" i="26" s="1"/>
  <c r="K234" i="26" s="1"/>
  <c r="O233" i="26"/>
  <c r="S232" i="26"/>
  <c r="M232" i="26"/>
  <c r="L232" i="26" s="1"/>
  <c r="K232" i="26" s="1"/>
  <c r="S231" i="26"/>
  <c r="M231" i="26" s="1"/>
  <c r="L231" i="26" s="1"/>
  <c r="K231" i="26" s="1"/>
  <c r="P230" i="26"/>
  <c r="O230" i="26"/>
  <c r="S229" i="26"/>
  <c r="M229" i="26"/>
  <c r="L229" i="26" s="1"/>
  <c r="K229" i="26" s="1"/>
  <c r="S228" i="26"/>
  <c r="M228" i="26" s="1"/>
  <c r="L228" i="26" s="1"/>
  <c r="K228" i="26" s="1"/>
  <c r="H228" i="26" s="1"/>
  <c r="S227" i="26"/>
  <c r="M227" i="26"/>
  <c r="L227" i="26" s="1"/>
  <c r="K227" i="26" s="1"/>
  <c r="I227" i="26" s="1"/>
  <c r="S226" i="26"/>
  <c r="M226" i="26" s="1"/>
  <c r="L226" i="26" s="1"/>
  <c r="K226" i="26" s="1"/>
  <c r="S225" i="26"/>
  <c r="M225" i="26"/>
  <c r="L225" i="26" s="1"/>
  <c r="K225" i="26" s="1"/>
  <c r="S224" i="26"/>
  <c r="M224" i="26"/>
  <c r="L224" i="26" s="1"/>
  <c r="K224" i="26" s="1"/>
  <c r="S223" i="26"/>
  <c r="M223" i="26" s="1"/>
  <c r="L223" i="26" s="1"/>
  <c r="K223" i="26" s="1"/>
  <c r="S222" i="26"/>
  <c r="M222" i="26" s="1"/>
  <c r="L222" i="26" s="1"/>
  <c r="K222" i="26" s="1"/>
  <c r="S221" i="26"/>
  <c r="M221" i="26" s="1"/>
  <c r="L221" i="26" s="1"/>
  <c r="K221" i="26" s="1"/>
  <c r="O220" i="26"/>
  <c r="S220" i="26" s="1"/>
  <c r="M220" i="26" s="1"/>
  <c r="L220" i="26" s="1"/>
  <c r="K220" i="26" s="1"/>
  <c r="O219" i="26"/>
  <c r="S219" i="26" s="1"/>
  <c r="M219" i="26" s="1"/>
  <c r="L219" i="26" s="1"/>
  <c r="K219" i="26" s="1"/>
  <c r="S218" i="26"/>
  <c r="O218" i="26"/>
  <c r="M218" i="26"/>
  <c r="L218" i="26" s="1"/>
  <c r="K218" i="26" s="1"/>
  <c r="S217" i="26"/>
  <c r="M217" i="26" s="1"/>
  <c r="L217" i="26" s="1"/>
  <c r="K217" i="26" s="1"/>
  <c r="S216" i="26"/>
  <c r="M216" i="26" s="1"/>
  <c r="L216" i="26" s="1"/>
  <c r="K216" i="26" s="1"/>
  <c r="S215" i="26"/>
  <c r="M215" i="26" s="1"/>
  <c r="L215" i="26" s="1"/>
  <c r="K215" i="26" s="1"/>
  <c r="S214" i="26"/>
  <c r="M214" i="26" s="1"/>
  <c r="L214" i="26" s="1"/>
  <c r="K214" i="26" s="1"/>
  <c r="S213" i="26"/>
  <c r="M213" i="26"/>
  <c r="L213" i="26" s="1"/>
  <c r="K213" i="26" s="1"/>
  <c r="P212" i="26"/>
  <c r="O212" i="26"/>
  <c r="S211" i="26"/>
  <c r="M211" i="26" s="1"/>
  <c r="L211" i="26" s="1"/>
  <c r="K211" i="26" s="1"/>
  <c r="S210" i="26"/>
  <c r="M210" i="26" s="1"/>
  <c r="L210" i="26" s="1"/>
  <c r="K210" i="26" s="1"/>
  <c r="O209" i="26"/>
  <c r="S209" i="26" s="1"/>
  <c r="M209" i="26"/>
  <c r="L209" i="26" s="1"/>
  <c r="K209" i="26" s="1"/>
  <c r="S208" i="26"/>
  <c r="M208" i="26" s="1"/>
  <c r="L208" i="26" s="1"/>
  <c r="K208" i="26" s="1"/>
  <c r="S207" i="26"/>
  <c r="M207" i="26" s="1"/>
  <c r="L207" i="26" s="1"/>
  <c r="K207" i="26" s="1"/>
  <c r="I207" i="26" s="1"/>
  <c r="S206" i="26"/>
  <c r="M206" i="26" s="1"/>
  <c r="L206" i="26"/>
  <c r="K206" i="26" s="1"/>
  <c r="O205" i="26"/>
  <c r="S205" i="26" s="1"/>
  <c r="M205" i="26" s="1"/>
  <c r="L205" i="26" s="1"/>
  <c r="K205" i="26" s="1"/>
  <c r="S204" i="26"/>
  <c r="M204" i="26" s="1"/>
  <c r="L204" i="26" s="1"/>
  <c r="K204" i="26" s="1"/>
  <c r="S203" i="26"/>
  <c r="M203" i="26" s="1"/>
  <c r="L203" i="26" s="1"/>
  <c r="K203" i="26" s="1"/>
  <c r="I203" i="26" s="1"/>
  <c r="S202" i="26"/>
  <c r="M202" i="26"/>
  <c r="L202" i="26" s="1"/>
  <c r="K202" i="26" s="1"/>
  <c r="O201" i="26"/>
  <c r="S200" i="26"/>
  <c r="M200" i="26" s="1"/>
  <c r="L200" i="26" s="1"/>
  <c r="K200" i="26" s="1"/>
  <c r="I200" i="26" s="1"/>
  <c r="S199" i="26"/>
  <c r="M199" i="26" s="1"/>
  <c r="L199" i="26" s="1"/>
  <c r="K199" i="26" s="1"/>
  <c r="O198" i="26"/>
  <c r="S197" i="26"/>
  <c r="M197" i="26" s="1"/>
  <c r="L197" i="26" s="1"/>
  <c r="K197" i="26" s="1"/>
  <c r="S196" i="26"/>
  <c r="M196" i="26" s="1"/>
  <c r="L196" i="26" s="1"/>
  <c r="K196" i="26" s="1"/>
  <c r="H196" i="26" s="1"/>
  <c r="O195" i="26"/>
  <c r="S195" i="26" s="1"/>
  <c r="M195" i="26" s="1"/>
  <c r="L195" i="26" s="1"/>
  <c r="K195" i="26" s="1"/>
  <c r="O194" i="26"/>
  <c r="S194" i="26" s="1"/>
  <c r="O193" i="26"/>
  <c r="S193" i="26" s="1"/>
  <c r="M193" i="26" s="1"/>
  <c r="L193" i="26" s="1"/>
  <c r="K193" i="26" s="1"/>
  <c r="S192" i="26"/>
  <c r="M192" i="26" s="1"/>
  <c r="L192" i="26" s="1"/>
  <c r="K192" i="26" s="1"/>
  <c r="H192" i="26" s="1"/>
  <c r="O191" i="26"/>
  <c r="S191" i="26" s="1"/>
  <c r="M191" i="26" s="1"/>
  <c r="L191" i="26" s="1"/>
  <c r="K191" i="26" s="1"/>
  <c r="I190" i="26"/>
  <c r="H190" i="26"/>
  <c r="S189" i="26"/>
  <c r="M189" i="26" s="1"/>
  <c r="L189" i="26" s="1"/>
  <c r="K189" i="26" s="1"/>
  <c r="O188" i="26"/>
  <c r="S188" i="26" s="1"/>
  <c r="M188" i="26" s="1"/>
  <c r="L188" i="26" s="1"/>
  <c r="K188" i="26" s="1"/>
  <c r="S187" i="26"/>
  <c r="O187" i="26"/>
  <c r="S186" i="26"/>
  <c r="M186" i="26" s="1"/>
  <c r="L186" i="26" s="1"/>
  <c r="K186" i="26" s="1"/>
  <c r="P185" i="26"/>
  <c r="S185" i="26" s="1"/>
  <c r="M185" i="26" s="1"/>
  <c r="L185" i="26" s="1"/>
  <c r="K185" i="26" s="1"/>
  <c r="O185" i="26"/>
  <c r="S184" i="26"/>
  <c r="M184" i="26" s="1"/>
  <c r="L184" i="26" s="1"/>
  <c r="K184" i="26" s="1"/>
  <c r="O183" i="26"/>
  <c r="S183" i="26" s="1"/>
  <c r="M183" i="26" s="1"/>
  <c r="L183" i="26" s="1"/>
  <c r="K183" i="26" s="1"/>
  <c r="I183" i="26" s="1"/>
  <c r="S182" i="26"/>
  <c r="M182" i="26" s="1"/>
  <c r="L182" i="26" s="1"/>
  <c r="K182" i="26" s="1"/>
  <c r="S181" i="26"/>
  <c r="M181" i="26" s="1"/>
  <c r="L181" i="26" s="1"/>
  <c r="K181" i="26" s="1"/>
  <c r="S180" i="26"/>
  <c r="M180" i="26" s="1"/>
  <c r="L180" i="26" s="1"/>
  <c r="K180" i="26" s="1"/>
  <c r="O179" i="26"/>
  <c r="S179" i="26" s="1"/>
  <c r="M179" i="26" s="1"/>
  <c r="L179" i="26" s="1"/>
  <c r="K179" i="26" s="1"/>
  <c r="I179" i="26" s="1"/>
  <c r="S178" i="26"/>
  <c r="M178" i="26" s="1"/>
  <c r="L178" i="26" s="1"/>
  <c r="K178" i="26" s="1"/>
  <c r="P176" i="26"/>
  <c r="O176" i="26"/>
  <c r="S175" i="26"/>
  <c r="M175" i="26" s="1"/>
  <c r="L175" i="26" s="1"/>
  <c r="K175" i="26" s="1"/>
  <c r="S174" i="26"/>
  <c r="M174" i="26" s="1"/>
  <c r="L174" i="26" s="1"/>
  <c r="K174" i="26" s="1"/>
  <c r="S173" i="26"/>
  <c r="M173" i="26" s="1"/>
  <c r="L173" i="26" s="1"/>
  <c r="K173" i="26" s="1"/>
  <c r="P172" i="26"/>
  <c r="O172" i="26"/>
  <c r="S172" i="26" s="1"/>
  <c r="M172" i="26" s="1"/>
  <c r="L172" i="26" s="1"/>
  <c r="K172" i="26" s="1"/>
  <c r="I172" i="26" s="1"/>
  <c r="S171" i="26"/>
  <c r="M171" i="26"/>
  <c r="L171" i="26"/>
  <c r="K171" i="26" s="1"/>
  <c r="O170" i="26"/>
  <c r="O169" i="26"/>
  <c r="S169" i="26" s="1"/>
  <c r="S168" i="26"/>
  <c r="M168" i="26" s="1"/>
  <c r="L168" i="26" s="1"/>
  <c r="K168" i="26" s="1"/>
  <c r="S167" i="26"/>
  <c r="M167" i="26" s="1"/>
  <c r="L167" i="26" s="1"/>
  <c r="K167" i="26" s="1"/>
  <c r="I167" i="26" s="1"/>
  <c r="S166" i="26"/>
  <c r="M166" i="26" s="1"/>
  <c r="L166" i="26" s="1"/>
  <c r="K166" i="26" s="1"/>
  <c r="O165" i="26"/>
  <c r="S165" i="26" s="1"/>
  <c r="O164" i="26"/>
  <c r="S164" i="26" s="1"/>
  <c r="I163" i="26"/>
  <c r="H163" i="26"/>
  <c r="O162" i="26"/>
  <c r="O161" i="26"/>
  <c r="S161" i="26" s="1"/>
  <c r="S160" i="26"/>
  <c r="M160" i="26" s="1"/>
  <c r="L160" i="26" s="1"/>
  <c r="K160" i="26" s="1"/>
  <c r="O158" i="26"/>
  <c r="S158" i="26" s="1"/>
  <c r="M158" i="26" s="1"/>
  <c r="L158" i="26" s="1"/>
  <c r="K158" i="26" s="1"/>
  <c r="O157" i="26"/>
  <c r="I156" i="26"/>
  <c r="H156" i="26"/>
  <c r="S155" i="26"/>
  <c r="M155" i="26" s="1"/>
  <c r="L155" i="26" s="1"/>
  <c r="K155" i="26" s="1"/>
  <c r="O155" i="26"/>
  <c r="O154" i="26"/>
  <c r="S154" i="26" s="1"/>
  <c r="O153" i="26"/>
  <c r="S153" i="26" s="1"/>
  <c r="O151" i="26"/>
  <c r="S151" i="26" s="1"/>
  <c r="M151" i="26" s="1"/>
  <c r="L151" i="26" s="1"/>
  <c r="K151" i="26" s="1"/>
  <c r="O150" i="26"/>
  <c r="S150" i="26" s="1"/>
  <c r="M150" i="26" s="1"/>
  <c r="L150" i="26" s="1"/>
  <c r="K150" i="26" s="1"/>
  <c r="I149" i="26"/>
  <c r="H149" i="26"/>
  <c r="O148" i="26"/>
  <c r="S148" i="26" s="1"/>
  <c r="S147" i="26"/>
  <c r="M147" i="26" s="1"/>
  <c r="L147" i="26" s="1"/>
  <c r="K147" i="26" s="1"/>
  <c r="I147" i="26" s="1"/>
  <c r="P145" i="26"/>
  <c r="O145" i="26"/>
  <c r="S144" i="26"/>
  <c r="M144" i="26" s="1"/>
  <c r="L144" i="26" s="1"/>
  <c r="K144" i="26" s="1"/>
  <c r="P143" i="26"/>
  <c r="O143" i="26"/>
  <c r="S143" i="26" s="1"/>
  <c r="M143" i="26" s="1"/>
  <c r="L143" i="26" s="1"/>
  <c r="K143" i="26" s="1"/>
  <c r="S142" i="26"/>
  <c r="M142" i="26" s="1"/>
  <c r="L142" i="26" s="1"/>
  <c r="K142" i="26" s="1"/>
  <c r="O142" i="26"/>
  <c r="S141" i="26"/>
  <c r="M141" i="26" s="1"/>
  <c r="L141" i="26" s="1"/>
  <c r="K141" i="26" s="1"/>
  <c r="S140" i="26"/>
  <c r="M140" i="26" s="1"/>
  <c r="L140" i="26" s="1"/>
  <c r="K140" i="26" s="1"/>
  <c r="P139" i="26"/>
  <c r="O139" i="26"/>
  <c r="S139" i="26" s="1"/>
  <c r="S138" i="26"/>
  <c r="M138" i="26" s="1"/>
  <c r="L138" i="26" s="1"/>
  <c r="K138" i="26" s="1"/>
  <c r="O137" i="26"/>
  <c r="S137" i="26" s="1"/>
  <c r="M137" i="26" s="1"/>
  <c r="L137" i="26" s="1"/>
  <c r="K137" i="26" s="1"/>
  <c r="O136" i="26"/>
  <c r="S136" i="26" s="1"/>
  <c r="M136" i="26" s="1"/>
  <c r="L136" i="26" s="1"/>
  <c r="K136" i="26" s="1"/>
  <c r="S135" i="26"/>
  <c r="M135" i="26" s="1"/>
  <c r="L135" i="26" s="1"/>
  <c r="K135" i="26" s="1"/>
  <c r="S134" i="26"/>
  <c r="M134" i="26"/>
  <c r="L134" i="26" s="1"/>
  <c r="K134" i="26" s="1"/>
  <c r="S133" i="26"/>
  <c r="M133" i="26" s="1"/>
  <c r="L133" i="26" s="1"/>
  <c r="K133" i="26" s="1"/>
  <c r="S132" i="26"/>
  <c r="M132" i="26" s="1"/>
  <c r="L132" i="26" s="1"/>
  <c r="K132" i="26" s="1"/>
  <c r="S131" i="26"/>
  <c r="M131" i="26"/>
  <c r="L131" i="26" s="1"/>
  <c r="K131" i="26" s="1"/>
  <c r="O130" i="26"/>
  <c r="O129" i="26"/>
  <c r="O70" i="43" s="1"/>
  <c r="O128" i="26"/>
  <c r="O69" i="43" s="1"/>
  <c r="O127" i="26"/>
  <c r="O68" i="43" s="1"/>
  <c r="O126" i="26"/>
  <c r="S126" i="26" s="1"/>
  <c r="O125" i="26"/>
  <c r="O66" i="43" s="1"/>
  <c r="S124" i="26"/>
  <c r="M124" i="26" s="1"/>
  <c r="L124" i="26" s="1"/>
  <c r="K124" i="26" s="1"/>
  <c r="O124" i="26"/>
  <c r="O65" i="43" s="1"/>
  <c r="O123" i="26"/>
  <c r="O64" i="43" s="1"/>
  <c r="O122" i="26"/>
  <c r="O121" i="26"/>
  <c r="O62" i="43" s="1"/>
  <c r="O120" i="26"/>
  <c r="S120" i="26" s="1"/>
  <c r="M120" i="26" s="1"/>
  <c r="L120" i="26" s="1"/>
  <c r="K120" i="26" s="1"/>
  <c r="S119" i="26"/>
  <c r="M119" i="26" s="1"/>
  <c r="L119" i="26" s="1"/>
  <c r="K119" i="26" s="1"/>
  <c r="O118" i="26"/>
  <c r="S116" i="26"/>
  <c r="Q116" i="26"/>
  <c r="O116" i="26"/>
  <c r="O49" i="43" s="1"/>
  <c r="O115" i="26"/>
  <c r="S114" i="26"/>
  <c r="M114" i="26" s="1"/>
  <c r="L114" i="26" s="1"/>
  <c r="K114" i="26" s="1"/>
  <c r="H114" i="26" s="1"/>
  <c r="O113" i="26"/>
  <c r="O112" i="26"/>
  <c r="O45" i="43" s="1"/>
  <c r="O111" i="26"/>
  <c r="Q110" i="26"/>
  <c r="O110" i="26"/>
  <c r="O43" i="43" s="1"/>
  <c r="O109" i="26"/>
  <c r="O108" i="26"/>
  <c r="O41" i="43" s="1"/>
  <c r="O107" i="26"/>
  <c r="O106" i="26"/>
  <c r="O39" i="43" s="1"/>
  <c r="O105" i="26"/>
  <c r="O104" i="26"/>
  <c r="O37" i="43" s="1"/>
  <c r="O103" i="26"/>
  <c r="S102" i="26"/>
  <c r="M102" i="26" s="1"/>
  <c r="L102" i="26" s="1"/>
  <c r="K102" i="26" s="1"/>
  <c r="S101" i="26"/>
  <c r="M101" i="26" s="1"/>
  <c r="L101" i="26" s="1"/>
  <c r="K101" i="26" s="1"/>
  <c r="P100" i="26"/>
  <c r="O100" i="26"/>
  <c r="P99" i="26"/>
  <c r="P32" i="43" s="1"/>
  <c r="O99" i="26"/>
  <c r="O32" i="43" s="1"/>
  <c r="P98" i="26"/>
  <c r="P30" i="43" s="1"/>
  <c r="O98" i="26"/>
  <c r="O30" i="43" s="1"/>
  <c r="P97" i="26"/>
  <c r="P29" i="43" s="1"/>
  <c r="O97" i="26"/>
  <c r="O29" i="43" s="1"/>
  <c r="P96" i="26"/>
  <c r="P28" i="43" s="1"/>
  <c r="O96" i="26"/>
  <c r="O28" i="43" s="1"/>
  <c r="P95" i="26"/>
  <c r="P27" i="43" s="1"/>
  <c r="O95" i="26"/>
  <c r="O27" i="43" s="1"/>
  <c r="P94" i="26"/>
  <c r="P26" i="43" s="1"/>
  <c r="O94" i="26"/>
  <c r="O26" i="43" s="1"/>
  <c r="P93" i="26"/>
  <c r="P25" i="43" s="1"/>
  <c r="O93" i="26"/>
  <c r="O25" i="43" s="1"/>
  <c r="P92" i="26"/>
  <c r="P24" i="43" s="1"/>
  <c r="O92" i="26"/>
  <c r="O24" i="43" s="1"/>
  <c r="P91" i="26"/>
  <c r="P23" i="43" s="1"/>
  <c r="O91" i="26"/>
  <c r="O23" i="43" s="1"/>
  <c r="P90" i="26"/>
  <c r="P22" i="43" s="1"/>
  <c r="O90" i="26"/>
  <c r="O22" i="43" s="1"/>
  <c r="P89" i="26"/>
  <c r="P21" i="43" s="1"/>
  <c r="O89" i="26"/>
  <c r="O21" i="43" s="1"/>
  <c r="P88" i="26"/>
  <c r="P20" i="43" s="1"/>
  <c r="O88" i="26"/>
  <c r="O20" i="43" s="1"/>
  <c r="P87" i="26"/>
  <c r="P19" i="43" s="1"/>
  <c r="O87" i="26"/>
  <c r="O19" i="43" s="1"/>
  <c r="P86" i="26"/>
  <c r="P18" i="43" s="1"/>
  <c r="O86" i="26"/>
  <c r="O18" i="43" s="1"/>
  <c r="P85" i="26"/>
  <c r="P17" i="43" s="1"/>
  <c r="O85" i="26"/>
  <c r="O17" i="43" s="1"/>
  <c r="P84" i="26"/>
  <c r="P16" i="43" s="1"/>
  <c r="O84" i="26"/>
  <c r="O16" i="43" s="1"/>
  <c r="P83" i="26"/>
  <c r="P15" i="43" s="1"/>
  <c r="O83" i="26"/>
  <c r="O15" i="43" s="1"/>
  <c r="P82" i="26"/>
  <c r="P14" i="43" s="1"/>
  <c r="O82" i="26"/>
  <c r="O14" i="43" s="1"/>
  <c r="P81" i="26"/>
  <c r="P13" i="43" s="1"/>
  <c r="O81" i="26"/>
  <c r="O13" i="43" s="1"/>
  <c r="P80" i="26"/>
  <c r="O80" i="26"/>
  <c r="P79" i="26"/>
  <c r="P10" i="43" s="1"/>
  <c r="O79" i="26"/>
  <c r="O10" i="43" s="1"/>
  <c r="P78" i="26"/>
  <c r="P7" i="43" s="1"/>
  <c r="O78" i="26"/>
  <c r="O7" i="43" s="1"/>
  <c r="P77" i="26"/>
  <c r="O77" i="26"/>
  <c r="S76" i="26"/>
  <c r="M76" i="26" s="1"/>
  <c r="L76" i="26" s="1"/>
  <c r="K76" i="26" s="1"/>
  <c r="S74" i="26"/>
  <c r="M74" i="26" s="1"/>
  <c r="L74" i="26" s="1"/>
  <c r="K74" i="26" s="1"/>
  <c r="O73" i="26"/>
  <c r="S73" i="26" s="1"/>
  <c r="M73" i="26" s="1"/>
  <c r="L73" i="26" s="1"/>
  <c r="K73" i="26" s="1"/>
  <c r="O72" i="26"/>
  <c r="Q71" i="26"/>
  <c r="P71" i="26"/>
  <c r="O71" i="26"/>
  <c r="N71" i="26"/>
  <c r="S70" i="26"/>
  <c r="M70" i="26" s="1"/>
  <c r="L70" i="26" s="1"/>
  <c r="K70" i="26" s="1"/>
  <c r="S69" i="26"/>
  <c r="M69" i="26" s="1"/>
  <c r="L69" i="26" s="1"/>
  <c r="K69" i="26" s="1"/>
  <c r="O68" i="26"/>
  <c r="S66" i="26"/>
  <c r="M66" i="26" s="1"/>
  <c r="L66" i="26" s="1"/>
  <c r="K66" i="26" s="1"/>
  <c r="O66" i="26"/>
  <c r="S65" i="26"/>
  <c r="M65" i="26" s="1"/>
  <c r="L65" i="26" s="1"/>
  <c r="K65" i="26" s="1"/>
  <c r="S64" i="26"/>
  <c r="M64" i="26" s="1"/>
  <c r="L64" i="26" s="1"/>
  <c r="K64" i="26" s="1"/>
  <c r="S63" i="26"/>
  <c r="M63" i="26" s="1"/>
  <c r="L63" i="26" s="1"/>
  <c r="K63" i="26" s="1"/>
  <c r="S62" i="26"/>
  <c r="M62" i="26" s="1"/>
  <c r="L62" i="26" s="1"/>
  <c r="K62" i="26" s="1"/>
  <c r="S60" i="26"/>
  <c r="M60" i="26" s="1"/>
  <c r="L60" i="26" s="1"/>
  <c r="K60" i="26" s="1"/>
  <c r="O59" i="26"/>
  <c r="S59" i="26" s="1"/>
  <c r="M59" i="26" s="1"/>
  <c r="L59" i="26" s="1"/>
  <c r="K59" i="26" s="1"/>
  <c r="O58" i="26"/>
  <c r="S57" i="26"/>
  <c r="M57" i="26"/>
  <c r="L57" i="26" s="1"/>
  <c r="K57" i="26" s="1"/>
  <c r="I57" i="26" s="1"/>
  <c r="S56" i="26"/>
  <c r="M56" i="26" s="1"/>
  <c r="L56" i="26" s="1"/>
  <c r="K56" i="26" s="1"/>
  <c r="P55" i="26"/>
  <c r="P68" i="26" s="1"/>
  <c r="O55" i="26"/>
  <c r="N55" i="26"/>
  <c r="N68" i="26" s="1"/>
  <c r="O54" i="26"/>
  <c r="O61" i="26" s="1"/>
  <c r="O67" i="26" s="1"/>
  <c r="N54" i="26"/>
  <c r="N61" i="26" s="1"/>
  <c r="Q53" i="26"/>
  <c r="P53" i="26"/>
  <c r="O53" i="26"/>
  <c r="N53" i="26"/>
  <c r="S52" i="26"/>
  <c r="Q52" i="26"/>
  <c r="Q58" i="26" s="1"/>
  <c r="P52" i="26"/>
  <c r="P58" i="26" s="1"/>
  <c r="P72" i="26" s="1"/>
  <c r="O52" i="26"/>
  <c r="N52" i="26"/>
  <c r="S51" i="26"/>
  <c r="M51" i="26" s="1"/>
  <c r="L51" i="26" s="1"/>
  <c r="K51" i="26" s="1"/>
  <c r="S50" i="26"/>
  <c r="M50" i="26" s="1"/>
  <c r="L50" i="26" s="1"/>
  <c r="K50" i="26" s="1"/>
  <c r="O49" i="26"/>
  <c r="S49" i="26" s="1"/>
  <c r="M49" i="26" s="1"/>
  <c r="L49" i="26" s="1"/>
  <c r="K49" i="26" s="1"/>
  <c r="P48" i="26"/>
  <c r="P54" i="26" s="1"/>
  <c r="P61" i="26" s="1"/>
  <c r="P67" i="26" s="1"/>
  <c r="O48" i="26"/>
  <c r="O47" i="26"/>
  <c r="S47" i="26" s="1"/>
  <c r="M47" i="26" s="1"/>
  <c r="L47" i="26" s="1"/>
  <c r="K47" i="26" s="1"/>
  <c r="O46" i="26"/>
  <c r="S46" i="26" s="1"/>
  <c r="M46" i="26" s="1"/>
  <c r="L46" i="26" s="1"/>
  <c r="K46" i="26" s="1"/>
  <c r="S45" i="26"/>
  <c r="M45" i="26" s="1"/>
  <c r="L45" i="26" s="1"/>
  <c r="K45" i="26" s="1"/>
  <c r="O44" i="26"/>
  <c r="O43" i="26"/>
  <c r="S43" i="26" s="1"/>
  <c r="M43" i="26" s="1"/>
  <c r="L43" i="26" s="1"/>
  <c r="K43" i="26" s="1"/>
  <c r="S42" i="26"/>
  <c r="M42" i="26" s="1"/>
  <c r="L42" i="26" s="1"/>
  <c r="K42" i="26" s="1"/>
  <c r="O41" i="26"/>
  <c r="S41" i="26" s="1"/>
  <c r="S40" i="26"/>
  <c r="M40" i="26" s="1"/>
  <c r="L40" i="26" s="1"/>
  <c r="K40" i="26" s="1"/>
  <c r="P39" i="26"/>
  <c r="O39" i="26"/>
  <c r="P38" i="26"/>
  <c r="O38" i="26"/>
  <c r="S38" i="26" s="1"/>
  <c r="M38" i="26" s="1"/>
  <c r="L38" i="26" s="1"/>
  <c r="K38" i="26" s="1"/>
  <c r="S37" i="26"/>
  <c r="M37" i="26" s="1"/>
  <c r="L37" i="26" s="1"/>
  <c r="K37" i="26" s="1"/>
  <c r="O37" i="26"/>
  <c r="O36" i="26"/>
  <c r="S36" i="26" s="1"/>
  <c r="M36" i="26" s="1"/>
  <c r="L36" i="26" s="1"/>
  <c r="K36" i="26" s="1"/>
  <c r="O34" i="26"/>
  <c r="S34" i="26" s="1"/>
  <c r="M34" i="26" s="1"/>
  <c r="L34" i="26" s="1"/>
  <c r="K34" i="26" s="1"/>
  <c r="O33" i="26"/>
  <c r="S33" i="26" s="1"/>
  <c r="M33" i="26" s="1"/>
  <c r="L33" i="26" s="1"/>
  <c r="K33" i="26" s="1"/>
  <c r="S31" i="26"/>
  <c r="M31" i="26" s="1"/>
  <c r="L31" i="26" s="1"/>
  <c r="K31" i="26" s="1"/>
  <c r="O30" i="26"/>
  <c r="N30" i="26"/>
  <c r="S29" i="26"/>
  <c r="M29" i="26" s="1"/>
  <c r="L29" i="26" s="1"/>
  <c r="K29" i="26" s="1"/>
  <c r="S28" i="26"/>
  <c r="M28" i="26" s="1"/>
  <c r="L28" i="26" s="1"/>
  <c r="K28" i="26" s="1"/>
  <c r="P27" i="26"/>
  <c r="O27" i="26"/>
  <c r="S26" i="26"/>
  <c r="M26" i="26" s="1"/>
  <c r="L26" i="26" s="1"/>
  <c r="K26" i="26" s="1"/>
  <c r="S25" i="26"/>
  <c r="M25" i="26" s="1"/>
  <c r="L25" i="26" s="1"/>
  <c r="K25" i="26" s="1"/>
  <c r="S24" i="26"/>
  <c r="M24" i="26" s="1"/>
  <c r="L24" i="26" s="1"/>
  <c r="K24" i="26" s="1"/>
  <c r="S23" i="26"/>
  <c r="M23" i="26" s="1"/>
  <c r="L23" i="26" s="1"/>
  <c r="K23" i="26" s="1"/>
  <c r="S22" i="26"/>
  <c r="M22" i="26" s="1"/>
  <c r="L22" i="26" s="1"/>
  <c r="K22" i="26" s="1"/>
  <c r="O21" i="26"/>
  <c r="S21" i="26" s="1"/>
  <c r="M21" i="26" s="1"/>
  <c r="L21" i="26" s="1"/>
  <c r="K21" i="26" s="1"/>
  <c r="S20" i="26"/>
  <c r="M20" i="26" s="1"/>
  <c r="L20" i="26" s="1"/>
  <c r="K20" i="26" s="1"/>
  <c r="S19" i="26"/>
  <c r="M19" i="26"/>
  <c r="L19" i="26" s="1"/>
  <c r="K19" i="26" s="1"/>
  <c r="S18" i="26"/>
  <c r="M18" i="26" s="1"/>
  <c r="L18" i="26" s="1"/>
  <c r="K18" i="26" s="1"/>
  <c r="O17" i="26"/>
  <c r="Q17" i="26" s="1"/>
  <c r="S17" i="26" s="1"/>
  <c r="M17" i="26" s="1"/>
  <c r="L17" i="26" s="1"/>
  <c r="K17" i="26" s="1"/>
  <c r="Q16" i="26"/>
  <c r="S16" i="26" s="1"/>
  <c r="M16" i="26" s="1"/>
  <c r="L16" i="26" s="1"/>
  <c r="K16" i="26" s="1"/>
  <c r="O16" i="26"/>
  <c r="O15" i="26"/>
  <c r="Q15" i="26" s="1"/>
  <c r="S15" i="26" s="1"/>
  <c r="M15" i="26" s="1"/>
  <c r="L15" i="26" s="1"/>
  <c r="K15" i="26" s="1"/>
  <c r="O14" i="26"/>
  <c r="Q14" i="26" s="1"/>
  <c r="S14" i="26" s="1"/>
  <c r="M14" i="26" s="1"/>
  <c r="L14" i="26" s="1"/>
  <c r="K14" i="26" s="1"/>
  <c r="O13" i="26"/>
  <c r="Q13" i="26" s="1"/>
  <c r="S13" i="26" s="1"/>
  <c r="M13" i="26" s="1"/>
  <c r="L13" i="26" s="1"/>
  <c r="K13" i="26" s="1"/>
  <c r="O12" i="26"/>
  <c r="Q12" i="26" s="1"/>
  <c r="S12" i="26" s="1"/>
  <c r="M12" i="26" s="1"/>
  <c r="L12" i="26" s="1"/>
  <c r="K12" i="26" s="1"/>
  <c r="O11" i="26"/>
  <c r="Q11" i="26" s="1"/>
  <c r="S11" i="26" s="1"/>
  <c r="M11" i="26" s="1"/>
  <c r="L11" i="26" s="1"/>
  <c r="K11" i="26" s="1"/>
  <c r="S10" i="26"/>
  <c r="M10" i="26" s="1"/>
  <c r="L10" i="26" s="1"/>
  <c r="K10" i="26" s="1"/>
  <c r="S9" i="26"/>
  <c r="M9" i="26" s="1"/>
  <c r="L9" i="26"/>
  <c r="K9" i="26" s="1"/>
  <c r="S8" i="26"/>
  <c r="M8" i="26" s="1"/>
  <c r="L8" i="26" s="1"/>
  <c r="K8" i="26" s="1"/>
  <c r="S7" i="26"/>
  <c r="M7" i="26"/>
  <c r="L7" i="26" s="1"/>
  <c r="K7" i="26" s="1"/>
  <c r="S6" i="26"/>
  <c r="M6" i="26" s="1"/>
  <c r="L6" i="26" s="1"/>
  <c r="K6" i="26" s="1"/>
  <c r="P25" i="31"/>
  <c r="T25" i="31" s="1"/>
  <c r="N25" i="31" s="1"/>
  <c r="M25" i="31" s="1"/>
  <c r="L25" i="31" s="1"/>
  <c r="T24" i="31"/>
  <c r="N24" i="31"/>
  <c r="M24" i="31" s="1"/>
  <c r="L24" i="31" s="1"/>
  <c r="T23" i="31"/>
  <c r="N23" i="31"/>
  <c r="M23" i="31" s="1"/>
  <c r="L23" i="31" s="1"/>
  <c r="R22" i="31"/>
  <c r="P22" i="31"/>
  <c r="R21" i="31"/>
  <c r="P21" i="31"/>
  <c r="R20" i="31"/>
  <c r="P20" i="31"/>
  <c r="T19" i="31"/>
  <c r="N19" i="31"/>
  <c r="M19" i="31" s="1"/>
  <c r="L19" i="31" s="1"/>
  <c r="T18" i="31"/>
  <c r="N18" i="31" s="1"/>
  <c r="M18" i="31" s="1"/>
  <c r="L18" i="31" s="1"/>
  <c r="O18" i="31"/>
  <c r="T17" i="31"/>
  <c r="N17" i="31" s="1"/>
  <c r="M17" i="31" s="1"/>
  <c r="L17" i="31" s="1"/>
  <c r="T16" i="31"/>
  <c r="O16" i="31"/>
  <c r="N16" i="31"/>
  <c r="M16" i="31" s="1"/>
  <c r="L16" i="31" s="1"/>
  <c r="T15" i="31"/>
  <c r="N15" i="31"/>
  <c r="M15" i="31" s="1"/>
  <c r="L15" i="31" s="1"/>
  <c r="R14" i="31"/>
  <c r="P14" i="31"/>
  <c r="R13" i="31"/>
  <c r="P13" i="31"/>
  <c r="R12" i="31"/>
  <c r="P12" i="31"/>
  <c r="R11" i="31"/>
  <c r="P11" i="31"/>
  <c r="T10" i="31"/>
  <c r="N10" i="31"/>
  <c r="M10" i="31" s="1"/>
  <c r="L10" i="31" s="1"/>
  <c r="T9" i="31"/>
  <c r="N9" i="31"/>
  <c r="M9" i="31" s="1"/>
  <c r="L9" i="31" s="1"/>
  <c r="T8" i="31"/>
  <c r="N8" i="31"/>
  <c r="M8" i="31" s="1"/>
  <c r="L8" i="31" s="1"/>
  <c r="T7" i="31"/>
  <c r="N7" i="31"/>
  <c r="M7" i="31" s="1"/>
  <c r="L7" i="31" s="1"/>
  <c r="T6" i="31"/>
  <c r="N6" i="31"/>
  <c r="M6" i="31" s="1"/>
  <c r="L6" i="31" s="1"/>
  <c r="T5" i="31"/>
  <c r="N5" i="31"/>
  <c r="M5" i="31" s="1"/>
  <c r="L5" i="31" s="1"/>
  <c r="S13" i="52"/>
  <c r="N13" i="52"/>
  <c r="M13" i="52" s="1"/>
  <c r="L13" i="52" s="1"/>
  <c r="K13" i="52" s="1"/>
  <c r="S12" i="52"/>
  <c r="M12" i="52"/>
  <c r="L12" i="52" s="1"/>
  <c r="K12" i="52" s="1"/>
  <c r="S11" i="52"/>
  <c r="M11" i="52" s="1"/>
  <c r="L11" i="52" s="1"/>
  <c r="K11" i="52" s="1"/>
  <c r="S10" i="52"/>
  <c r="M10" i="52"/>
  <c r="L10" i="52" s="1"/>
  <c r="K10" i="52" s="1"/>
  <c r="S9" i="52"/>
  <c r="M9" i="52" s="1"/>
  <c r="L9" i="52" s="1"/>
  <c r="K9" i="52" s="1"/>
  <c r="S8" i="52"/>
  <c r="M8" i="52"/>
  <c r="L8" i="52" s="1"/>
  <c r="K8" i="52" s="1"/>
  <c r="S7" i="52"/>
  <c r="M7" i="52" s="1"/>
  <c r="L7" i="52" s="1"/>
  <c r="K7" i="52" s="1"/>
  <c r="S6" i="52"/>
  <c r="M6" i="52"/>
  <c r="L6" i="52" s="1"/>
  <c r="K6" i="52" s="1"/>
  <c r="H15" i="57"/>
  <c r="E15" i="57"/>
  <c r="F15" i="57" s="1"/>
  <c r="H14" i="57"/>
  <c r="E14" i="57"/>
  <c r="F14" i="57" s="1"/>
  <c r="C8" i="57"/>
  <c r="C7" i="57" s="1"/>
  <c r="H8" i="56"/>
  <c r="F8" i="56"/>
  <c r="E8" i="56"/>
  <c r="C6" i="56"/>
  <c r="C16" i="56" s="1"/>
  <c r="F11" i="55"/>
  <c r="F9" i="55"/>
  <c r="F8" i="55"/>
  <c r="S121" i="26" l="1"/>
  <c r="M121" i="26" s="1"/>
  <c r="L121" i="26" s="1"/>
  <c r="K121" i="26" s="1"/>
  <c r="S128" i="26"/>
  <c r="M128" i="26" s="1"/>
  <c r="L128" i="26" s="1"/>
  <c r="K128" i="26" s="1"/>
  <c r="H128" i="26" s="1"/>
  <c r="S244" i="26"/>
  <c r="M244" i="26" s="1"/>
  <c r="L244" i="26" s="1"/>
  <c r="K244" i="26" s="1"/>
  <c r="H9" i="55"/>
  <c r="J9" i="55"/>
  <c r="G9" i="55" s="1"/>
  <c r="C9" i="57"/>
  <c r="C11" i="57" s="1"/>
  <c r="C13" i="57" s="1"/>
  <c r="C15" i="57" s="1"/>
  <c r="C10" i="57"/>
  <c r="C12" i="57" s="1"/>
  <c r="C14" i="57" s="1"/>
  <c r="C16" i="57" s="1"/>
  <c r="C6" i="57"/>
  <c r="D14" i="57"/>
  <c r="C17" i="57"/>
  <c r="C18" i="57" s="1"/>
  <c r="D15" i="57"/>
  <c r="C13" i="56"/>
  <c r="C10" i="56"/>
  <c r="C8" i="56"/>
  <c r="C11" i="56"/>
  <c r="C15" i="56"/>
  <c r="C9" i="56"/>
  <c r="C17" i="56"/>
  <c r="G15" i="57"/>
  <c r="C7" i="56"/>
  <c r="C14" i="56"/>
  <c r="C12" i="56"/>
  <c r="J20" i="51"/>
  <c r="F20" i="51" s="1"/>
  <c r="Q20" i="51" s="1"/>
  <c r="R20" i="51" s="1"/>
  <c r="O23" i="51"/>
  <c r="P23" i="51" s="1"/>
  <c r="P8" i="51"/>
  <c r="L8" i="51" s="1"/>
  <c r="Q8" i="51" s="1"/>
  <c r="R8" i="51" s="1"/>
  <c r="O7" i="51"/>
  <c r="P7" i="51" s="1"/>
  <c r="I9" i="51"/>
  <c r="J9" i="51" s="1"/>
  <c r="J7" i="51"/>
  <c r="F7" i="51" s="1"/>
  <c r="L284" i="50"/>
  <c r="M284" i="50"/>
  <c r="K284" i="50"/>
  <c r="J284" i="50"/>
  <c r="L307" i="50"/>
  <c r="K307" i="50"/>
  <c r="J307" i="50"/>
  <c r="M307" i="50"/>
  <c r="L311" i="50"/>
  <c r="K311" i="50"/>
  <c r="J311" i="50"/>
  <c r="M311" i="50"/>
  <c r="J308" i="50"/>
  <c r="M308" i="50"/>
  <c r="L308" i="50"/>
  <c r="K308" i="50"/>
  <c r="L313" i="50"/>
  <c r="K313" i="50"/>
  <c r="J313" i="50"/>
  <c r="M313" i="50"/>
  <c r="L309" i="50"/>
  <c r="K309" i="50"/>
  <c r="J309" i="50"/>
  <c r="M309" i="50"/>
  <c r="J306" i="50"/>
  <c r="M306" i="50"/>
  <c r="L306" i="50"/>
  <c r="K306" i="50"/>
  <c r="J310" i="50"/>
  <c r="M310" i="50"/>
  <c r="L310" i="50"/>
  <c r="K310" i="50"/>
  <c r="K302" i="50"/>
  <c r="L314" i="50"/>
  <c r="M302" i="50"/>
  <c r="M312" i="50"/>
  <c r="M314" i="50"/>
  <c r="R320" i="50"/>
  <c r="K326" i="50"/>
  <c r="J326" i="50"/>
  <c r="M326" i="50"/>
  <c r="L326" i="50"/>
  <c r="J328" i="50"/>
  <c r="M328" i="50"/>
  <c r="L328" i="50"/>
  <c r="K328" i="50"/>
  <c r="R335" i="50"/>
  <c r="L336" i="50"/>
  <c r="K336" i="50"/>
  <c r="J336" i="50"/>
  <c r="M336" i="50"/>
  <c r="J340" i="50"/>
  <c r="M340" i="50"/>
  <c r="L340" i="50"/>
  <c r="K340" i="50"/>
  <c r="M327" i="50"/>
  <c r="M329" i="50"/>
  <c r="Q330" i="50"/>
  <c r="R330" i="50" s="1"/>
  <c r="R331" i="50"/>
  <c r="R332" i="50"/>
  <c r="R333" i="50"/>
  <c r="R334" i="50"/>
  <c r="R337" i="50"/>
  <c r="R338" i="50"/>
  <c r="M339" i="50"/>
  <c r="M341" i="50"/>
  <c r="J327" i="50"/>
  <c r="J329" i="50"/>
  <c r="J341" i="50"/>
  <c r="J354" i="50"/>
  <c r="M354" i="50"/>
  <c r="L354" i="50"/>
  <c r="K354" i="50"/>
  <c r="M360" i="50"/>
  <c r="L360" i="50"/>
  <c r="K360" i="50"/>
  <c r="J360" i="50"/>
  <c r="M353" i="50"/>
  <c r="M355" i="50"/>
  <c r="J355" i="50"/>
  <c r="J377" i="50"/>
  <c r="M377" i="50"/>
  <c r="L377" i="50"/>
  <c r="K377" i="50"/>
  <c r="J394" i="50"/>
  <c r="K394" i="50"/>
  <c r="L393" i="50"/>
  <c r="J406" i="50"/>
  <c r="M406" i="50"/>
  <c r="L406" i="50"/>
  <c r="K406" i="50"/>
  <c r="L405" i="50"/>
  <c r="K405" i="50"/>
  <c r="J405" i="50"/>
  <c r="M405" i="50"/>
  <c r="L394" i="50"/>
  <c r="M394" i="50"/>
  <c r="J203" i="50"/>
  <c r="M203" i="50"/>
  <c r="L203" i="50"/>
  <c r="K203" i="50"/>
  <c r="M208" i="50"/>
  <c r="L208" i="50"/>
  <c r="K208" i="50"/>
  <c r="J208" i="50"/>
  <c r="K215" i="50"/>
  <c r="J215" i="50"/>
  <c r="M215" i="50"/>
  <c r="L215" i="50"/>
  <c r="J223" i="50"/>
  <c r="M223" i="50"/>
  <c r="L223" i="50"/>
  <c r="K223" i="50"/>
  <c r="L204" i="50"/>
  <c r="K204" i="50"/>
  <c r="J204" i="50"/>
  <c r="M204" i="50"/>
  <c r="M207" i="50"/>
  <c r="L207" i="50"/>
  <c r="K207" i="50"/>
  <c r="J207" i="50"/>
  <c r="R210" i="50"/>
  <c r="M213" i="50"/>
  <c r="L213" i="50"/>
  <c r="K213" i="50"/>
  <c r="J213" i="50"/>
  <c r="L216" i="50"/>
  <c r="K216" i="50"/>
  <c r="J216" i="50"/>
  <c r="M216" i="50"/>
  <c r="J205" i="50"/>
  <c r="M205" i="50"/>
  <c r="L205" i="50"/>
  <c r="K205" i="50"/>
  <c r="K211" i="50"/>
  <c r="J211" i="50"/>
  <c r="M211" i="50"/>
  <c r="L211" i="50"/>
  <c r="R219" i="50"/>
  <c r="J221" i="50"/>
  <c r="M221" i="50"/>
  <c r="L221" i="50"/>
  <c r="K221" i="50"/>
  <c r="L202" i="50"/>
  <c r="K202" i="50"/>
  <c r="J202" i="50"/>
  <c r="M202" i="50"/>
  <c r="L206" i="50"/>
  <c r="K206" i="50"/>
  <c r="J206" i="50"/>
  <c r="M206" i="50"/>
  <c r="M209" i="50"/>
  <c r="L209" i="50"/>
  <c r="K209" i="50"/>
  <c r="J209" i="50"/>
  <c r="L222" i="50"/>
  <c r="K222" i="50"/>
  <c r="J222" i="50"/>
  <c r="M222" i="50"/>
  <c r="J196" i="50"/>
  <c r="L197" i="50"/>
  <c r="J198" i="50"/>
  <c r="L199" i="50"/>
  <c r="J200" i="50"/>
  <c r="L201" i="50"/>
  <c r="Q210" i="50"/>
  <c r="M212" i="50"/>
  <c r="K214" i="50"/>
  <c r="J212" i="50"/>
  <c r="Q217" i="50"/>
  <c r="R217" i="50" s="1"/>
  <c r="Q218" i="50"/>
  <c r="R218" i="50" s="1"/>
  <c r="Q219" i="50"/>
  <c r="Q220" i="50"/>
  <c r="R220" i="50" s="1"/>
  <c r="L196" i="50"/>
  <c r="L198" i="50"/>
  <c r="L200" i="50"/>
  <c r="J178" i="50"/>
  <c r="M178" i="50"/>
  <c r="L178" i="50"/>
  <c r="K178" i="50"/>
  <c r="J181" i="50"/>
  <c r="M181" i="50"/>
  <c r="L181" i="50"/>
  <c r="K181" i="50"/>
  <c r="J184" i="50"/>
  <c r="M184" i="50"/>
  <c r="L184" i="50"/>
  <c r="K184" i="50"/>
  <c r="J187" i="50"/>
  <c r="M187" i="50"/>
  <c r="L187" i="50"/>
  <c r="K187" i="50"/>
  <c r="J237" i="50"/>
  <c r="L237" i="50"/>
  <c r="K237" i="50"/>
  <c r="M237" i="50"/>
  <c r="J239" i="50"/>
  <c r="L239" i="50"/>
  <c r="K239" i="50"/>
  <c r="M239" i="50"/>
  <c r="J241" i="50"/>
  <c r="L241" i="50"/>
  <c r="K241" i="50"/>
  <c r="M241" i="50"/>
  <c r="J189" i="50"/>
  <c r="M189" i="50"/>
  <c r="L189" i="50"/>
  <c r="K189" i="50"/>
  <c r="J172" i="50"/>
  <c r="M172" i="50"/>
  <c r="L172" i="50"/>
  <c r="K172" i="50"/>
  <c r="J191" i="50"/>
  <c r="M191" i="50"/>
  <c r="L191" i="50"/>
  <c r="K191" i="50"/>
  <c r="J238" i="50"/>
  <c r="L238" i="50"/>
  <c r="K238" i="50"/>
  <c r="M238" i="50"/>
  <c r="J240" i="50"/>
  <c r="L240" i="50"/>
  <c r="K240" i="50"/>
  <c r="M240" i="50"/>
  <c r="J242" i="50"/>
  <c r="L242" i="50"/>
  <c r="K242" i="50"/>
  <c r="M242" i="50"/>
  <c r="M168" i="50"/>
  <c r="L170" i="50"/>
  <c r="M171" i="50"/>
  <c r="M173" i="50"/>
  <c r="L175" i="50"/>
  <c r="M176" i="50"/>
  <c r="M179" i="50"/>
  <c r="M182" i="50"/>
  <c r="M185" i="50"/>
  <c r="M188" i="50"/>
  <c r="M190" i="50"/>
  <c r="M192" i="50"/>
  <c r="K193" i="50"/>
  <c r="J194" i="50"/>
  <c r="Q266" i="50"/>
  <c r="R266" i="50" s="1"/>
  <c r="Q268" i="50"/>
  <c r="R268" i="50" s="1"/>
  <c r="Q270" i="50"/>
  <c r="R270" i="50" s="1"/>
  <c r="Q272" i="50"/>
  <c r="R272" i="50" s="1"/>
  <c r="Q274" i="50"/>
  <c r="R274" i="50" s="1"/>
  <c r="Q276" i="50"/>
  <c r="R276" i="50" s="1"/>
  <c r="Q278" i="50"/>
  <c r="R278" i="50" s="1"/>
  <c r="Q280" i="50"/>
  <c r="R280" i="50" s="1"/>
  <c r="M170" i="50"/>
  <c r="M175" i="50"/>
  <c r="L193" i="50"/>
  <c r="L194" i="50"/>
  <c r="J243" i="50"/>
  <c r="M243" i="50"/>
  <c r="L243" i="50"/>
  <c r="K243" i="50"/>
  <c r="J245" i="50"/>
  <c r="M245" i="50"/>
  <c r="L245" i="50"/>
  <c r="K245" i="50"/>
  <c r="J247" i="50"/>
  <c r="M247" i="50"/>
  <c r="L247" i="50"/>
  <c r="K247" i="50"/>
  <c r="J249" i="50"/>
  <c r="M249" i="50"/>
  <c r="L249" i="50"/>
  <c r="K249" i="50"/>
  <c r="J251" i="50"/>
  <c r="M251" i="50"/>
  <c r="L251" i="50"/>
  <c r="K251" i="50"/>
  <c r="J253" i="50"/>
  <c r="M253" i="50"/>
  <c r="L253" i="50"/>
  <c r="K253" i="50"/>
  <c r="J255" i="50"/>
  <c r="M255" i="50"/>
  <c r="L255" i="50"/>
  <c r="K255" i="50"/>
  <c r="J257" i="50"/>
  <c r="M257" i="50"/>
  <c r="L257" i="50"/>
  <c r="K257" i="50"/>
  <c r="M194" i="50"/>
  <c r="Q265" i="50"/>
  <c r="R265" i="50" s="1"/>
  <c r="R267" i="50"/>
  <c r="Q267" i="50"/>
  <c r="Q269" i="50"/>
  <c r="R269" i="50" s="1"/>
  <c r="Q271" i="50"/>
  <c r="R271" i="50" s="1"/>
  <c r="Q273" i="50"/>
  <c r="R273" i="50" s="1"/>
  <c r="R275" i="50"/>
  <c r="Q275" i="50"/>
  <c r="Q277" i="50"/>
  <c r="R277" i="50" s="1"/>
  <c r="Q279" i="50"/>
  <c r="R279" i="50" s="1"/>
  <c r="Q259" i="50"/>
  <c r="R259" i="50" s="1"/>
  <c r="Q260" i="50"/>
  <c r="R260" i="50" s="1"/>
  <c r="Q261" i="50"/>
  <c r="R261" i="50" s="1"/>
  <c r="R262" i="50"/>
  <c r="Q262" i="50"/>
  <c r="Q263" i="50"/>
  <c r="R263" i="50" s="1"/>
  <c r="Q264" i="50"/>
  <c r="R264" i="50" s="1"/>
  <c r="J244" i="50"/>
  <c r="M244" i="50"/>
  <c r="L244" i="50"/>
  <c r="K244" i="50"/>
  <c r="J246" i="50"/>
  <c r="M246" i="50"/>
  <c r="L246" i="50"/>
  <c r="K246" i="50"/>
  <c r="J248" i="50"/>
  <c r="M248" i="50"/>
  <c r="L248" i="50"/>
  <c r="K248" i="50"/>
  <c r="J250" i="50"/>
  <c r="M250" i="50"/>
  <c r="L250" i="50"/>
  <c r="K250" i="50"/>
  <c r="J252" i="50"/>
  <c r="M252" i="50"/>
  <c r="L252" i="50"/>
  <c r="K252" i="50"/>
  <c r="J254" i="50"/>
  <c r="M254" i="50"/>
  <c r="L254" i="50"/>
  <c r="K254" i="50"/>
  <c r="J256" i="50"/>
  <c r="M256" i="50"/>
  <c r="L256" i="50"/>
  <c r="K256" i="50"/>
  <c r="J258" i="50"/>
  <c r="M258" i="50"/>
  <c r="L258" i="50"/>
  <c r="K258" i="50"/>
  <c r="H406" i="43"/>
  <c r="I406" i="43"/>
  <c r="S217" i="43"/>
  <c r="M217" i="43" s="1"/>
  <c r="L217" i="43" s="1"/>
  <c r="K217" i="43" s="1"/>
  <c r="S62" i="43"/>
  <c r="S70" i="43"/>
  <c r="S258" i="43"/>
  <c r="I284" i="43"/>
  <c r="M160" i="43"/>
  <c r="L160" i="43" s="1"/>
  <c r="K160" i="43" s="1"/>
  <c r="I160" i="43" s="1"/>
  <c r="I361" i="43"/>
  <c r="H361" i="43"/>
  <c r="M93" i="43"/>
  <c r="L93" i="43" s="1"/>
  <c r="K93" i="43" s="1"/>
  <c r="H93" i="43" s="1"/>
  <c r="S135" i="43"/>
  <c r="M135" i="43" s="1"/>
  <c r="L135" i="43" s="1"/>
  <c r="K135" i="43" s="1"/>
  <c r="S146" i="43"/>
  <c r="M146" i="43" s="1"/>
  <c r="L146" i="43" s="1"/>
  <c r="K146" i="43" s="1"/>
  <c r="H146" i="43" s="1"/>
  <c r="S156" i="43"/>
  <c r="M156" i="43" s="1"/>
  <c r="L156" i="43" s="1"/>
  <c r="K156" i="43" s="1"/>
  <c r="S175" i="43"/>
  <c r="M175" i="43" s="1"/>
  <c r="L175" i="43" s="1"/>
  <c r="K175" i="43" s="1"/>
  <c r="I175" i="43" s="1"/>
  <c r="S265" i="43"/>
  <c r="M265" i="43" s="1"/>
  <c r="L265" i="43" s="1"/>
  <c r="K265" i="43" s="1"/>
  <c r="S279" i="43"/>
  <c r="M279" i="43" s="1"/>
  <c r="L279" i="43" s="1"/>
  <c r="K279" i="43" s="1"/>
  <c r="M324" i="43"/>
  <c r="L324" i="43" s="1"/>
  <c r="K324" i="43" s="1"/>
  <c r="I324" i="43" s="1"/>
  <c r="M326" i="43"/>
  <c r="L326" i="43" s="1"/>
  <c r="K326" i="43" s="1"/>
  <c r="M57" i="43"/>
  <c r="L57" i="43" s="1"/>
  <c r="K57" i="43" s="1"/>
  <c r="H57" i="43" s="1"/>
  <c r="S90" i="43"/>
  <c r="M90" i="43" s="1"/>
  <c r="L90" i="43" s="1"/>
  <c r="K90" i="43" s="1"/>
  <c r="I391" i="43"/>
  <c r="M102" i="43"/>
  <c r="L102" i="43" s="1"/>
  <c r="K102" i="43" s="1"/>
  <c r="I102" i="43" s="1"/>
  <c r="M129" i="43"/>
  <c r="L129" i="43" s="1"/>
  <c r="K129" i="43" s="1"/>
  <c r="H129" i="43" s="1"/>
  <c r="S233" i="43"/>
  <c r="M233" i="43" s="1"/>
  <c r="L233" i="43" s="1"/>
  <c r="K233" i="43" s="1"/>
  <c r="S271" i="43"/>
  <c r="M271" i="43" s="1"/>
  <c r="L271" i="43" s="1"/>
  <c r="K271" i="43" s="1"/>
  <c r="I271" i="43" s="1"/>
  <c r="M327" i="43"/>
  <c r="L327" i="43" s="1"/>
  <c r="K327" i="43" s="1"/>
  <c r="H327" i="43" s="1"/>
  <c r="S333" i="43"/>
  <c r="M333" i="43" s="1"/>
  <c r="L333" i="43" s="1"/>
  <c r="K333" i="43" s="1"/>
  <c r="M79" i="43"/>
  <c r="L79" i="43" s="1"/>
  <c r="K79" i="43" s="1"/>
  <c r="M81" i="43"/>
  <c r="L81" i="43" s="1"/>
  <c r="K81" i="43" s="1"/>
  <c r="H81" i="43" s="1"/>
  <c r="M95" i="43"/>
  <c r="L95" i="43" s="1"/>
  <c r="K95" i="43" s="1"/>
  <c r="H95" i="43" s="1"/>
  <c r="M397" i="43"/>
  <c r="L397" i="43" s="1"/>
  <c r="K397" i="43" s="1"/>
  <c r="I397" i="43" s="1"/>
  <c r="H381" i="43"/>
  <c r="I354" i="43"/>
  <c r="I365" i="43"/>
  <c r="H365" i="43"/>
  <c r="I369" i="43"/>
  <c r="H369" i="43"/>
  <c r="I373" i="43"/>
  <c r="H373" i="43"/>
  <c r="I339" i="43"/>
  <c r="I345" i="43"/>
  <c r="H345" i="43"/>
  <c r="I341" i="43"/>
  <c r="I286" i="43"/>
  <c r="H286" i="43"/>
  <c r="H276" i="43"/>
  <c r="I276" i="43"/>
  <c r="I278" i="43"/>
  <c r="I249" i="43"/>
  <c r="H249" i="43"/>
  <c r="H255" i="43"/>
  <c r="I240" i="43"/>
  <c r="I211" i="43"/>
  <c r="H211" i="43"/>
  <c r="I193" i="43"/>
  <c r="H181" i="43"/>
  <c r="I181" i="43"/>
  <c r="M183" i="43"/>
  <c r="L183" i="43" s="1"/>
  <c r="K183" i="43" s="1"/>
  <c r="H183" i="43" s="1"/>
  <c r="H170" i="43"/>
  <c r="I170" i="43"/>
  <c r="M117" i="43"/>
  <c r="L117" i="43" s="1"/>
  <c r="K117" i="43" s="1"/>
  <c r="I117" i="43" s="1"/>
  <c r="M104" i="43"/>
  <c r="L104" i="43" s="1"/>
  <c r="K104" i="43" s="1"/>
  <c r="H104" i="43" s="1"/>
  <c r="M76" i="43"/>
  <c r="L76" i="43" s="1"/>
  <c r="K76" i="43" s="1"/>
  <c r="M84" i="43"/>
  <c r="L84" i="43" s="1"/>
  <c r="K84" i="43" s="1"/>
  <c r="H84" i="43" s="1"/>
  <c r="H83" i="43"/>
  <c r="I83" i="43"/>
  <c r="I88" i="43"/>
  <c r="H88" i="43"/>
  <c r="I94" i="43"/>
  <c r="H94" i="43"/>
  <c r="I96" i="43"/>
  <c r="H96" i="43"/>
  <c r="H101" i="43"/>
  <c r="I101" i="43"/>
  <c r="H112" i="43"/>
  <c r="I112" i="43"/>
  <c r="H128" i="43"/>
  <c r="I128" i="43"/>
  <c r="I149" i="43"/>
  <c r="H149" i="43"/>
  <c r="H151" i="43"/>
  <c r="I151" i="43"/>
  <c r="H161" i="43"/>
  <c r="I161" i="43"/>
  <c r="I174" i="43"/>
  <c r="H174" i="43"/>
  <c r="H180" i="43"/>
  <c r="I180" i="43"/>
  <c r="I79" i="43"/>
  <c r="H79" i="43"/>
  <c r="I84" i="43"/>
  <c r="S87" i="43"/>
  <c r="M87" i="43" s="1"/>
  <c r="L87" i="43" s="1"/>
  <c r="K87" i="43" s="1"/>
  <c r="H89" i="43"/>
  <c r="I89" i="43"/>
  <c r="H97" i="43"/>
  <c r="I97" i="43"/>
  <c r="I107" i="43"/>
  <c r="H107" i="43"/>
  <c r="I115" i="43"/>
  <c r="H115" i="43"/>
  <c r="I129" i="43"/>
  <c r="I131" i="43"/>
  <c r="H131" i="43"/>
  <c r="I134" i="43"/>
  <c r="H134" i="43"/>
  <c r="I138" i="43"/>
  <c r="H138" i="43"/>
  <c r="I140" i="43"/>
  <c r="H140" i="43"/>
  <c r="I142" i="43"/>
  <c r="H142" i="43"/>
  <c r="I153" i="43"/>
  <c r="H153" i="43"/>
  <c r="H160" i="43"/>
  <c r="I169" i="43"/>
  <c r="H169" i="43"/>
  <c r="I194" i="43"/>
  <c r="H194" i="43"/>
  <c r="I95" i="43"/>
  <c r="H108" i="43"/>
  <c r="I108" i="43"/>
  <c r="I110" i="43"/>
  <c r="H110" i="43"/>
  <c r="I114" i="43"/>
  <c r="H114" i="43"/>
  <c r="H118" i="43"/>
  <c r="I118" i="43"/>
  <c r="I122" i="43"/>
  <c r="H122" i="43"/>
  <c r="I126" i="43"/>
  <c r="H126" i="43"/>
  <c r="I132" i="43"/>
  <c r="H132" i="43"/>
  <c r="I146" i="43"/>
  <c r="H154" i="43"/>
  <c r="I154" i="43"/>
  <c r="I173" i="43"/>
  <c r="H173" i="43"/>
  <c r="H80" i="43"/>
  <c r="I80" i="43"/>
  <c r="I82" i="43"/>
  <c r="H82" i="43"/>
  <c r="H85" i="43"/>
  <c r="I85" i="43"/>
  <c r="H103" i="43"/>
  <c r="I103" i="43"/>
  <c r="I105" i="43"/>
  <c r="H105" i="43"/>
  <c r="H111" i="43"/>
  <c r="I111" i="43"/>
  <c r="I125" i="43"/>
  <c r="H125" i="43"/>
  <c r="H127" i="43"/>
  <c r="I127" i="43"/>
  <c r="I130" i="43"/>
  <c r="H130" i="43"/>
  <c r="I139" i="43"/>
  <c r="H139" i="43"/>
  <c r="I141" i="43"/>
  <c r="H141" i="43"/>
  <c r="I150" i="43"/>
  <c r="H150" i="43"/>
  <c r="I159" i="43"/>
  <c r="H159" i="43"/>
  <c r="I163" i="43"/>
  <c r="H163" i="43"/>
  <c r="I186" i="43"/>
  <c r="H186" i="43"/>
  <c r="H208" i="43"/>
  <c r="I208" i="43"/>
  <c r="I230" i="43"/>
  <c r="H230" i="43"/>
  <c r="I243" i="43"/>
  <c r="H243" i="43"/>
  <c r="S68" i="43"/>
  <c r="S86" i="43"/>
  <c r="M86" i="43" s="1"/>
  <c r="L86" i="43" s="1"/>
  <c r="K86" i="43" s="1"/>
  <c r="S106" i="43"/>
  <c r="M106" i="43" s="1"/>
  <c r="L106" i="43" s="1"/>
  <c r="K106" i="43" s="1"/>
  <c r="S109" i="43"/>
  <c r="M109" i="43" s="1"/>
  <c r="L109" i="43" s="1"/>
  <c r="K109" i="43" s="1"/>
  <c r="S119" i="43"/>
  <c r="M119" i="43" s="1"/>
  <c r="L119" i="43" s="1"/>
  <c r="K119" i="43" s="1"/>
  <c r="S133" i="43"/>
  <c r="M133" i="43" s="1"/>
  <c r="L133" i="43" s="1"/>
  <c r="K133" i="43" s="1"/>
  <c r="S171" i="43"/>
  <c r="M171" i="43" s="1"/>
  <c r="L171" i="43" s="1"/>
  <c r="K171" i="43" s="1"/>
  <c r="I189" i="43"/>
  <c r="H189" i="43"/>
  <c r="I212" i="43"/>
  <c r="H212" i="43"/>
  <c r="I216" i="43"/>
  <c r="H216" i="43"/>
  <c r="I221" i="43"/>
  <c r="H221" i="43"/>
  <c r="I227" i="43"/>
  <c r="H227" i="43"/>
  <c r="I245" i="43"/>
  <c r="H245" i="43"/>
  <c r="S251" i="43"/>
  <c r="M251" i="43" s="1"/>
  <c r="L251" i="43" s="1"/>
  <c r="K251" i="43" s="1"/>
  <c r="S137" i="43"/>
  <c r="M137" i="43" s="1"/>
  <c r="L137" i="43" s="1"/>
  <c r="K137" i="43" s="1"/>
  <c r="S158" i="43"/>
  <c r="M158" i="43" s="1"/>
  <c r="L158" i="43" s="1"/>
  <c r="K158" i="43" s="1"/>
  <c r="P177" i="43"/>
  <c r="S165" i="43"/>
  <c r="M165" i="43" s="1"/>
  <c r="L165" i="43" s="1"/>
  <c r="K165" i="43" s="1"/>
  <c r="I204" i="43"/>
  <c r="H204" i="43"/>
  <c r="S220" i="43"/>
  <c r="M220" i="43" s="1"/>
  <c r="L220" i="43" s="1"/>
  <c r="K220" i="43" s="1"/>
  <c r="H235" i="43"/>
  <c r="I235" i="43"/>
  <c r="S10" i="43"/>
  <c r="M10" i="43" s="1"/>
  <c r="L10" i="43" s="1"/>
  <c r="K10" i="43" s="1"/>
  <c r="S66" i="43"/>
  <c r="S69" i="43"/>
  <c r="M69" i="43" s="1"/>
  <c r="L69" i="43" s="1"/>
  <c r="K69" i="43" s="1"/>
  <c r="H69" i="43" s="1"/>
  <c r="S91" i="43"/>
  <c r="M91" i="43" s="1"/>
  <c r="L91" i="43" s="1"/>
  <c r="K91" i="43" s="1"/>
  <c r="S99" i="43"/>
  <c r="M99" i="43" s="1"/>
  <c r="L99" i="43" s="1"/>
  <c r="K99" i="43" s="1"/>
  <c r="S100" i="43"/>
  <c r="M100" i="43" s="1"/>
  <c r="L100" i="43" s="1"/>
  <c r="K100" i="43" s="1"/>
  <c r="H120" i="43"/>
  <c r="S167" i="43"/>
  <c r="M167" i="43" s="1"/>
  <c r="L167" i="43" s="1"/>
  <c r="K167" i="43" s="1"/>
  <c r="I185" i="43"/>
  <c r="H190" i="43"/>
  <c r="I190" i="43"/>
  <c r="H203" i="43"/>
  <c r="I203" i="43"/>
  <c r="I205" i="43"/>
  <c r="H205" i="43"/>
  <c r="I209" i="43"/>
  <c r="H209" i="43"/>
  <c r="I218" i="43"/>
  <c r="H218" i="43"/>
  <c r="I234" i="43"/>
  <c r="H234" i="43"/>
  <c r="I239" i="43"/>
  <c r="H239" i="43"/>
  <c r="I242" i="43"/>
  <c r="H242" i="43"/>
  <c r="I246" i="43"/>
  <c r="H246" i="43"/>
  <c r="I267" i="43"/>
  <c r="H267" i="43"/>
  <c r="S64" i="43"/>
  <c r="M64" i="43" s="1"/>
  <c r="L64" i="43" s="1"/>
  <c r="K64" i="43" s="1"/>
  <c r="M113" i="43"/>
  <c r="L113" i="43" s="1"/>
  <c r="K113" i="43" s="1"/>
  <c r="M116" i="43"/>
  <c r="L116" i="43" s="1"/>
  <c r="K116" i="43" s="1"/>
  <c r="M124" i="43"/>
  <c r="L124" i="43" s="1"/>
  <c r="K124" i="43" s="1"/>
  <c r="I136" i="43"/>
  <c r="S148" i="43"/>
  <c r="M148" i="43" s="1"/>
  <c r="L148" i="43" s="1"/>
  <c r="K148" i="43" s="1"/>
  <c r="I155" i="43"/>
  <c r="H157" i="43"/>
  <c r="S162" i="43"/>
  <c r="M162" i="43" s="1"/>
  <c r="L162" i="43" s="1"/>
  <c r="K162" i="43" s="1"/>
  <c r="H168" i="43"/>
  <c r="H179" i="43"/>
  <c r="H184" i="43"/>
  <c r="I191" i="43"/>
  <c r="H191" i="43"/>
  <c r="I207" i="43"/>
  <c r="H207" i="43"/>
  <c r="I215" i="43"/>
  <c r="H215" i="43"/>
  <c r="I225" i="43"/>
  <c r="H225" i="43"/>
  <c r="I247" i="43"/>
  <c r="H247" i="43"/>
  <c r="I257" i="43"/>
  <c r="H257" i="43"/>
  <c r="H281" i="43"/>
  <c r="I281" i="43"/>
  <c r="I294" i="43"/>
  <c r="H294" i="43"/>
  <c r="I296" i="43"/>
  <c r="H296" i="43"/>
  <c r="I300" i="43"/>
  <c r="H300" i="43"/>
  <c r="H302" i="43"/>
  <c r="I302" i="43"/>
  <c r="H307" i="43"/>
  <c r="I307" i="43"/>
  <c r="H309" i="43"/>
  <c r="I309" i="43"/>
  <c r="H311" i="43"/>
  <c r="I311" i="43"/>
  <c r="H313" i="43"/>
  <c r="I313" i="43"/>
  <c r="H315" i="43"/>
  <c r="I315" i="43"/>
  <c r="H317" i="43"/>
  <c r="I317" i="43"/>
  <c r="M197" i="43"/>
  <c r="L197" i="43" s="1"/>
  <c r="K197" i="43" s="1"/>
  <c r="M199" i="43"/>
  <c r="L199" i="43" s="1"/>
  <c r="K199" i="43" s="1"/>
  <c r="M229" i="43"/>
  <c r="L229" i="43" s="1"/>
  <c r="K229" i="43" s="1"/>
  <c r="I253" i="43"/>
  <c r="H253" i="43"/>
  <c r="I256" i="43"/>
  <c r="H256" i="43"/>
  <c r="S274" i="43"/>
  <c r="M274" i="43" s="1"/>
  <c r="L274" i="43" s="1"/>
  <c r="K274" i="43" s="1"/>
  <c r="H277" i="43"/>
  <c r="I277" i="43"/>
  <c r="H198" i="43"/>
  <c r="M202" i="43"/>
  <c r="L202" i="43" s="1"/>
  <c r="K202" i="43" s="1"/>
  <c r="M214" i="43"/>
  <c r="L214" i="43" s="1"/>
  <c r="K214" i="43" s="1"/>
  <c r="M224" i="43"/>
  <c r="L224" i="43" s="1"/>
  <c r="K224" i="43" s="1"/>
  <c r="M226" i="43"/>
  <c r="L226" i="43" s="1"/>
  <c r="K226" i="43" s="1"/>
  <c r="M238" i="43"/>
  <c r="L238" i="43" s="1"/>
  <c r="K238" i="43" s="1"/>
  <c r="H252" i="43"/>
  <c r="I252" i="43"/>
  <c r="S260" i="43"/>
  <c r="M260" i="43" s="1"/>
  <c r="L260" i="43" s="1"/>
  <c r="K260" i="43" s="1"/>
  <c r="I264" i="43"/>
  <c r="H264" i="43"/>
  <c r="H269" i="43"/>
  <c r="I269" i="43"/>
  <c r="S266" i="43"/>
  <c r="M266" i="43" s="1"/>
  <c r="L266" i="43" s="1"/>
  <c r="K266" i="43" s="1"/>
  <c r="I319" i="43"/>
  <c r="H319" i="43"/>
  <c r="I334" i="43"/>
  <c r="H334" i="43"/>
  <c r="M258" i="43"/>
  <c r="L258" i="43" s="1"/>
  <c r="K258" i="43" s="1"/>
  <c r="H282" i="43"/>
  <c r="I282" i="43"/>
  <c r="I290" i="43"/>
  <c r="H290" i="43"/>
  <c r="H297" i="43"/>
  <c r="I297" i="43"/>
  <c r="I303" i="43"/>
  <c r="H303" i="43"/>
  <c r="I306" i="43"/>
  <c r="H306" i="43"/>
  <c r="I308" i="43"/>
  <c r="H308" i="43"/>
  <c r="I310" i="43"/>
  <c r="H310" i="43"/>
  <c r="I312" i="43"/>
  <c r="H312" i="43"/>
  <c r="I314" i="43"/>
  <c r="H314" i="43"/>
  <c r="I316" i="43"/>
  <c r="H316" i="43"/>
  <c r="I320" i="43"/>
  <c r="H320" i="43"/>
  <c r="S254" i="43"/>
  <c r="M254" i="43" s="1"/>
  <c r="L254" i="43" s="1"/>
  <c r="K254" i="43" s="1"/>
  <c r="M259" i="43"/>
  <c r="L259" i="43" s="1"/>
  <c r="K259" i="43" s="1"/>
  <c r="S280" i="43"/>
  <c r="M280" i="43" s="1"/>
  <c r="L280" i="43" s="1"/>
  <c r="K280" i="43" s="1"/>
  <c r="I293" i="43"/>
  <c r="H293" i="43"/>
  <c r="I299" i="43"/>
  <c r="H299" i="43"/>
  <c r="H324" i="43"/>
  <c r="I326" i="43"/>
  <c r="H326" i="43"/>
  <c r="H328" i="43"/>
  <c r="I328" i="43"/>
  <c r="H335" i="43"/>
  <c r="I335" i="43"/>
  <c r="I362" i="43"/>
  <c r="H362" i="43"/>
  <c r="I366" i="43"/>
  <c r="H366" i="43"/>
  <c r="I370" i="43"/>
  <c r="H370" i="43"/>
  <c r="I374" i="43"/>
  <c r="H374" i="43"/>
  <c r="I378" i="43"/>
  <c r="H378" i="43"/>
  <c r="I382" i="43"/>
  <c r="H382" i="43"/>
  <c r="I385" i="43"/>
  <c r="H385" i="43"/>
  <c r="M287" i="43"/>
  <c r="L287" i="43" s="1"/>
  <c r="K287" i="43" s="1"/>
  <c r="S289" i="43"/>
  <c r="M289" i="43" s="1"/>
  <c r="L289" i="43" s="1"/>
  <c r="K289" i="43" s="1"/>
  <c r="M321" i="43"/>
  <c r="L321" i="43" s="1"/>
  <c r="K321" i="43" s="1"/>
  <c r="O322" i="43"/>
  <c r="M325" i="43"/>
  <c r="L325" i="43" s="1"/>
  <c r="K325" i="43" s="1"/>
  <c r="I327" i="43"/>
  <c r="I331" i="43"/>
  <c r="H343" i="43"/>
  <c r="I353" i="43"/>
  <c r="H353" i="43"/>
  <c r="I356" i="43"/>
  <c r="H367" i="43"/>
  <c r="H375" i="43"/>
  <c r="I390" i="43"/>
  <c r="H390" i="43"/>
  <c r="I393" i="43"/>
  <c r="I399" i="43"/>
  <c r="I404" i="43"/>
  <c r="H404" i="43"/>
  <c r="M405" i="43"/>
  <c r="L405" i="43" s="1"/>
  <c r="K405" i="43" s="1"/>
  <c r="I340" i="43"/>
  <c r="H340" i="43"/>
  <c r="I349" i="43"/>
  <c r="H349" i="43"/>
  <c r="I355" i="43"/>
  <c r="H355" i="43"/>
  <c r="I364" i="43"/>
  <c r="H364" i="43"/>
  <c r="I372" i="43"/>
  <c r="H372" i="43"/>
  <c r="I380" i="43"/>
  <c r="H380" i="43"/>
  <c r="I387" i="43"/>
  <c r="H387" i="43"/>
  <c r="I392" i="43"/>
  <c r="H392" i="43"/>
  <c r="S396" i="43"/>
  <c r="M396" i="43" s="1"/>
  <c r="L396" i="43" s="1"/>
  <c r="K396" i="43" s="1"/>
  <c r="I398" i="43"/>
  <c r="H398" i="43"/>
  <c r="I401" i="43"/>
  <c r="H330" i="43"/>
  <c r="S332" i="43"/>
  <c r="M332" i="43" s="1"/>
  <c r="L332" i="43" s="1"/>
  <c r="K332" i="43" s="1"/>
  <c r="H348" i="43"/>
  <c r="H363" i="43"/>
  <c r="H371" i="43"/>
  <c r="H379" i="43"/>
  <c r="H386" i="43"/>
  <c r="I389" i="43"/>
  <c r="I400" i="43"/>
  <c r="H400" i="43"/>
  <c r="I403" i="43"/>
  <c r="I344" i="43"/>
  <c r="H344" i="43"/>
  <c r="I360" i="43"/>
  <c r="H360" i="43"/>
  <c r="I368" i="43"/>
  <c r="H368" i="43"/>
  <c r="I402" i="43"/>
  <c r="H402" i="43"/>
  <c r="I55" i="43"/>
  <c r="H55" i="43"/>
  <c r="H59" i="43"/>
  <c r="I59" i="43"/>
  <c r="I60" i="43"/>
  <c r="H60" i="43"/>
  <c r="H61" i="43"/>
  <c r="I61" i="43"/>
  <c r="H56" i="43"/>
  <c r="I56" i="43"/>
  <c r="I58" i="43"/>
  <c r="H58" i="43"/>
  <c r="I57" i="43"/>
  <c r="I74" i="43"/>
  <c r="H74" i="43"/>
  <c r="I76" i="43"/>
  <c r="H76" i="43"/>
  <c r="I77" i="43"/>
  <c r="H77" i="43"/>
  <c r="H57" i="26"/>
  <c r="H206" i="26"/>
  <c r="I206" i="26"/>
  <c r="M27" i="26"/>
  <c r="L27" i="26" s="1"/>
  <c r="K27" i="26" s="1"/>
  <c r="H231" i="26"/>
  <c r="I231" i="26"/>
  <c r="M41" i="26"/>
  <c r="L41" i="26" s="1"/>
  <c r="K41" i="26" s="1"/>
  <c r="S29" i="43"/>
  <c r="M29" i="43" s="1"/>
  <c r="L29" i="43" s="1"/>
  <c r="K29" i="43" s="1"/>
  <c r="S98" i="26"/>
  <c r="M98" i="26" s="1"/>
  <c r="L98" i="26" s="1"/>
  <c r="K98" i="26" s="1"/>
  <c r="S99" i="26"/>
  <c r="S100" i="26"/>
  <c r="M100" i="26" s="1"/>
  <c r="L100" i="26" s="1"/>
  <c r="K100" i="26" s="1"/>
  <c r="Q106" i="26"/>
  <c r="S127" i="26"/>
  <c r="M127" i="26" s="1"/>
  <c r="L127" i="26" s="1"/>
  <c r="K127" i="26" s="1"/>
  <c r="I127" i="26" s="1"/>
  <c r="S129" i="26"/>
  <c r="M129" i="26" s="1"/>
  <c r="L129" i="26" s="1"/>
  <c r="K129" i="26" s="1"/>
  <c r="M161" i="26"/>
  <c r="L161" i="26" s="1"/>
  <c r="K161" i="26" s="1"/>
  <c r="I161" i="26" s="1"/>
  <c r="M169" i="26"/>
  <c r="L169" i="26" s="1"/>
  <c r="K169" i="26" s="1"/>
  <c r="I169" i="26" s="1"/>
  <c r="M235" i="26"/>
  <c r="L235" i="26" s="1"/>
  <c r="K235" i="26" s="1"/>
  <c r="H235" i="26" s="1"/>
  <c r="S27" i="26"/>
  <c r="S39" i="26"/>
  <c r="M39" i="26" s="1"/>
  <c r="L39" i="26" s="1"/>
  <c r="K39" i="26" s="1"/>
  <c r="S48" i="26"/>
  <c r="M48" i="26" s="1"/>
  <c r="L48" i="26" s="1"/>
  <c r="K48" i="26" s="1"/>
  <c r="S14" i="43"/>
  <c r="M14" i="43" s="1"/>
  <c r="L14" i="43" s="1"/>
  <c r="K14" i="43" s="1"/>
  <c r="S16" i="43"/>
  <c r="M16" i="43" s="1"/>
  <c r="L16" i="43" s="1"/>
  <c r="K16" i="43" s="1"/>
  <c r="S20" i="43"/>
  <c r="S22" i="43"/>
  <c r="M22" i="43" s="1"/>
  <c r="L22" i="43" s="1"/>
  <c r="K22" i="43" s="1"/>
  <c r="S24" i="43"/>
  <c r="M24" i="43" s="1"/>
  <c r="L24" i="43" s="1"/>
  <c r="K24" i="43" s="1"/>
  <c r="S26" i="43"/>
  <c r="S28" i="43"/>
  <c r="M99" i="26"/>
  <c r="L99" i="26" s="1"/>
  <c r="K99" i="26" s="1"/>
  <c r="I99" i="26" s="1"/>
  <c r="S145" i="26"/>
  <c r="M145" i="26" s="1"/>
  <c r="L145" i="26" s="1"/>
  <c r="K145" i="26" s="1"/>
  <c r="H145" i="26" s="1"/>
  <c r="M194" i="26"/>
  <c r="L194" i="26" s="1"/>
  <c r="K194" i="26" s="1"/>
  <c r="I194" i="26" s="1"/>
  <c r="M323" i="26"/>
  <c r="L323" i="26" s="1"/>
  <c r="K323" i="26" s="1"/>
  <c r="I323" i="26" s="1"/>
  <c r="I321" i="26"/>
  <c r="S30" i="26"/>
  <c r="M30" i="26" s="1"/>
  <c r="L30" i="26" s="1"/>
  <c r="K30" i="26" s="1"/>
  <c r="Q108" i="26"/>
  <c r="I256" i="26"/>
  <c r="I263" i="26"/>
  <c r="I289" i="26"/>
  <c r="H323" i="26"/>
  <c r="H306" i="26"/>
  <c r="H310" i="26"/>
  <c r="I311" i="26"/>
  <c r="I313" i="26"/>
  <c r="I315" i="26"/>
  <c r="I317" i="26"/>
  <c r="I319" i="26"/>
  <c r="H297" i="26"/>
  <c r="I288" i="26"/>
  <c r="H288" i="26"/>
  <c r="I269" i="26"/>
  <c r="I253" i="26"/>
  <c r="H253" i="26"/>
  <c r="H280" i="26"/>
  <c r="I248" i="26"/>
  <c r="H248" i="26"/>
  <c r="H240" i="26"/>
  <c r="I229" i="26"/>
  <c r="H229" i="26"/>
  <c r="H227" i="26"/>
  <c r="I228" i="26"/>
  <c r="I242" i="26"/>
  <c r="H203" i="26"/>
  <c r="I196" i="26"/>
  <c r="I186" i="26"/>
  <c r="H186" i="26"/>
  <c r="I189" i="26"/>
  <c r="H189" i="26"/>
  <c r="I59" i="26"/>
  <c r="H59" i="26"/>
  <c r="S44" i="26"/>
  <c r="M44" i="26" s="1"/>
  <c r="L44" i="26" s="1"/>
  <c r="K44" i="26" s="1"/>
  <c r="I60" i="26"/>
  <c r="H60" i="26"/>
  <c r="I174" i="26"/>
  <c r="H174" i="26"/>
  <c r="I193" i="26"/>
  <c r="H193" i="26"/>
  <c r="M52" i="26"/>
  <c r="L52" i="26" s="1"/>
  <c r="K52" i="26" s="1"/>
  <c r="I52" i="26" s="1"/>
  <c r="I160" i="26"/>
  <c r="H160" i="26"/>
  <c r="I171" i="26"/>
  <c r="H171" i="26"/>
  <c r="I182" i="26"/>
  <c r="H182" i="26"/>
  <c r="H194" i="26"/>
  <c r="I155" i="26"/>
  <c r="H155" i="26"/>
  <c r="I158" i="26"/>
  <c r="H158" i="26"/>
  <c r="I178" i="26"/>
  <c r="H178" i="26"/>
  <c r="H184" i="26"/>
  <c r="I184" i="26"/>
  <c r="I168" i="26"/>
  <c r="H168" i="26"/>
  <c r="H175" i="26"/>
  <c r="I175" i="26"/>
  <c r="H180" i="26"/>
  <c r="I180" i="26"/>
  <c r="I185" i="26"/>
  <c r="H185" i="26"/>
  <c r="I191" i="26"/>
  <c r="H191" i="26"/>
  <c r="I195" i="26"/>
  <c r="H195" i="26"/>
  <c r="S77" i="26"/>
  <c r="M77" i="26" s="1"/>
  <c r="L77" i="26" s="1"/>
  <c r="K77" i="26" s="1"/>
  <c r="S78" i="26"/>
  <c r="M78" i="26" s="1"/>
  <c r="L78" i="26" s="1"/>
  <c r="K78" i="26" s="1"/>
  <c r="S79" i="26"/>
  <c r="S80" i="26"/>
  <c r="M80" i="26" s="1"/>
  <c r="L80" i="26" s="1"/>
  <c r="K80" i="26" s="1"/>
  <c r="S81" i="26"/>
  <c r="S82" i="26"/>
  <c r="S83" i="26"/>
  <c r="S84" i="26"/>
  <c r="S85" i="26"/>
  <c r="S86" i="26"/>
  <c r="S87" i="26"/>
  <c r="S88" i="26"/>
  <c r="S89" i="26"/>
  <c r="S90" i="26"/>
  <c r="S91" i="26"/>
  <c r="S92" i="26"/>
  <c r="S93" i="26"/>
  <c r="S94" i="26"/>
  <c r="S95" i="26"/>
  <c r="S96" i="26"/>
  <c r="M96" i="26" s="1"/>
  <c r="L96" i="26" s="1"/>
  <c r="K96" i="26" s="1"/>
  <c r="I96" i="26" s="1"/>
  <c r="S97" i="26"/>
  <c r="M97" i="26" s="1"/>
  <c r="L97" i="26" s="1"/>
  <c r="K97" i="26" s="1"/>
  <c r="H97" i="26" s="1"/>
  <c r="O38" i="43"/>
  <c r="Q105" i="26"/>
  <c r="Q38" i="43" s="1"/>
  <c r="O46" i="43"/>
  <c r="Q113" i="26"/>
  <c r="Q46" i="43" s="1"/>
  <c r="O63" i="43"/>
  <c r="S63" i="43" s="1"/>
  <c r="M63" i="43" s="1"/>
  <c r="L63" i="43" s="1"/>
  <c r="K63" i="43" s="1"/>
  <c r="S122" i="26"/>
  <c r="O67" i="43"/>
  <c r="S67" i="43" s="1"/>
  <c r="M67" i="43" s="1"/>
  <c r="L67" i="43" s="1"/>
  <c r="K67" i="43" s="1"/>
  <c r="M126" i="26"/>
  <c r="L126" i="26" s="1"/>
  <c r="K126" i="26" s="1"/>
  <c r="M139" i="26"/>
  <c r="L139" i="26" s="1"/>
  <c r="K139" i="26" s="1"/>
  <c r="H139" i="26" s="1"/>
  <c r="M153" i="26"/>
  <c r="L153" i="26" s="1"/>
  <c r="K153" i="26" s="1"/>
  <c r="M154" i="26"/>
  <c r="L154" i="26" s="1"/>
  <c r="K154" i="26" s="1"/>
  <c r="M164" i="26"/>
  <c r="L164" i="26" s="1"/>
  <c r="K164" i="26" s="1"/>
  <c r="M165" i="26"/>
  <c r="L165" i="26" s="1"/>
  <c r="K165" i="26" s="1"/>
  <c r="H167" i="26"/>
  <c r="H169" i="26"/>
  <c r="H172" i="26"/>
  <c r="H179" i="26"/>
  <c r="H183" i="26"/>
  <c r="I192" i="26"/>
  <c r="I199" i="26"/>
  <c r="H199" i="26"/>
  <c r="H200" i="26"/>
  <c r="I210" i="26"/>
  <c r="H210" i="26"/>
  <c r="S212" i="26"/>
  <c r="M212" i="26" s="1"/>
  <c r="L212" i="26" s="1"/>
  <c r="K212" i="26" s="1"/>
  <c r="H226" i="26"/>
  <c r="I226" i="26"/>
  <c r="I237" i="26"/>
  <c r="H237" i="26"/>
  <c r="I239" i="26"/>
  <c r="H239" i="26"/>
  <c r="I241" i="26"/>
  <c r="H241" i="26"/>
  <c r="I260" i="26"/>
  <c r="H260" i="26"/>
  <c r="I275" i="26"/>
  <c r="H275" i="26"/>
  <c r="I283" i="26"/>
  <c r="H283" i="26"/>
  <c r="I327" i="26"/>
  <c r="H327" i="26"/>
  <c r="S71" i="26"/>
  <c r="M71" i="26" s="1"/>
  <c r="L71" i="26" s="1"/>
  <c r="K71" i="26" s="1"/>
  <c r="H71" i="26" s="1"/>
  <c r="M79" i="26"/>
  <c r="L79" i="26" s="1"/>
  <c r="K79" i="26" s="1"/>
  <c r="I79" i="26" s="1"/>
  <c r="M81" i="26"/>
  <c r="L81" i="26" s="1"/>
  <c r="K81" i="26" s="1"/>
  <c r="H81" i="26" s="1"/>
  <c r="M82" i="26"/>
  <c r="L82" i="26" s="1"/>
  <c r="K82" i="26" s="1"/>
  <c r="H82" i="26" s="1"/>
  <c r="M83" i="26"/>
  <c r="L83" i="26" s="1"/>
  <c r="K83" i="26" s="1"/>
  <c r="M84" i="26"/>
  <c r="L84" i="26" s="1"/>
  <c r="K84" i="26" s="1"/>
  <c r="I84" i="26" s="1"/>
  <c r="M85" i="26"/>
  <c r="L85" i="26" s="1"/>
  <c r="K85" i="26" s="1"/>
  <c r="I85" i="26" s="1"/>
  <c r="M86" i="26"/>
  <c r="L86" i="26" s="1"/>
  <c r="K86" i="26" s="1"/>
  <c r="I86" i="26" s="1"/>
  <c r="M87" i="26"/>
  <c r="L87" i="26" s="1"/>
  <c r="K87" i="26" s="1"/>
  <c r="M88" i="26"/>
  <c r="L88" i="26" s="1"/>
  <c r="K88" i="26" s="1"/>
  <c r="I88" i="26" s="1"/>
  <c r="M89" i="26"/>
  <c r="L89" i="26" s="1"/>
  <c r="K89" i="26" s="1"/>
  <c r="H89" i="26" s="1"/>
  <c r="M90" i="26"/>
  <c r="L90" i="26" s="1"/>
  <c r="K90" i="26" s="1"/>
  <c r="I90" i="26" s="1"/>
  <c r="M91" i="26"/>
  <c r="L91" i="26" s="1"/>
  <c r="K91" i="26" s="1"/>
  <c r="M92" i="26"/>
  <c r="L92" i="26" s="1"/>
  <c r="K92" i="26" s="1"/>
  <c r="I92" i="26" s="1"/>
  <c r="M93" i="26"/>
  <c r="L93" i="26" s="1"/>
  <c r="K93" i="26" s="1"/>
  <c r="I93" i="26" s="1"/>
  <c r="M94" i="26"/>
  <c r="L94" i="26" s="1"/>
  <c r="K94" i="26" s="1"/>
  <c r="I94" i="26" s="1"/>
  <c r="M95" i="26"/>
  <c r="L95" i="26" s="1"/>
  <c r="K95" i="26" s="1"/>
  <c r="O36" i="43"/>
  <c r="S36" i="43" s="1"/>
  <c r="M36" i="43" s="1"/>
  <c r="L36" i="43" s="1"/>
  <c r="K36" i="43" s="1"/>
  <c r="Q103" i="26"/>
  <c r="Q36" i="43" s="1"/>
  <c r="O44" i="43"/>
  <c r="Q111" i="26"/>
  <c r="Q44" i="43" s="1"/>
  <c r="M116" i="26"/>
  <c r="L116" i="26" s="1"/>
  <c r="K116" i="26" s="1"/>
  <c r="O51" i="43"/>
  <c r="Q118" i="26"/>
  <c r="M148" i="26"/>
  <c r="L148" i="26" s="1"/>
  <c r="K148" i="26" s="1"/>
  <c r="I188" i="26"/>
  <c r="H188" i="26"/>
  <c r="I205" i="26"/>
  <c r="H205" i="26"/>
  <c r="H208" i="26"/>
  <c r="I208" i="26"/>
  <c r="I235" i="26"/>
  <c r="I257" i="26"/>
  <c r="H257" i="26"/>
  <c r="I278" i="26"/>
  <c r="H278" i="26"/>
  <c r="I301" i="26"/>
  <c r="H301" i="26"/>
  <c r="O8" i="43"/>
  <c r="O6" i="43"/>
  <c r="S7" i="43"/>
  <c r="M7" i="43" s="1"/>
  <c r="L7" i="43" s="1"/>
  <c r="K7" i="43" s="1"/>
  <c r="O12" i="43"/>
  <c r="O11" i="43"/>
  <c r="S15" i="43"/>
  <c r="M15" i="43" s="1"/>
  <c r="L15" i="43" s="1"/>
  <c r="K15" i="43" s="1"/>
  <c r="S18" i="43"/>
  <c r="S19" i="43"/>
  <c r="M19" i="43" s="1"/>
  <c r="L19" i="43" s="1"/>
  <c r="K19" i="43" s="1"/>
  <c r="S23" i="43"/>
  <c r="M23" i="43" s="1"/>
  <c r="L23" i="43" s="1"/>
  <c r="K23" i="43" s="1"/>
  <c r="S27" i="43"/>
  <c r="M27" i="43" s="1"/>
  <c r="L27" i="43" s="1"/>
  <c r="K27" i="43" s="1"/>
  <c r="O42" i="43"/>
  <c r="Q109" i="26"/>
  <c r="O48" i="43"/>
  <c r="O117" i="26"/>
  <c r="O71" i="43"/>
  <c r="S130" i="26"/>
  <c r="M130" i="26" s="1"/>
  <c r="L130" i="26" s="1"/>
  <c r="K130" i="26" s="1"/>
  <c r="S201" i="26"/>
  <c r="M201" i="26" s="1"/>
  <c r="L201" i="26" s="1"/>
  <c r="K201" i="26" s="1"/>
  <c r="I209" i="26"/>
  <c r="H209" i="26"/>
  <c r="I232" i="26"/>
  <c r="H232" i="26"/>
  <c r="I255" i="26"/>
  <c r="H255" i="26"/>
  <c r="I272" i="26"/>
  <c r="H272" i="26"/>
  <c r="S53" i="26"/>
  <c r="P8" i="43"/>
  <c r="P6" i="43"/>
  <c r="P9" i="43"/>
  <c r="P12" i="43"/>
  <c r="P11" i="43"/>
  <c r="S13" i="43"/>
  <c r="M13" i="43" s="1"/>
  <c r="L13" i="43" s="1"/>
  <c r="K13" i="43" s="1"/>
  <c r="S17" i="43"/>
  <c r="M17" i="43" s="1"/>
  <c r="L17" i="43" s="1"/>
  <c r="K17" i="43" s="1"/>
  <c r="S21" i="43"/>
  <c r="M21" i="43" s="1"/>
  <c r="L21" i="43" s="1"/>
  <c r="K21" i="43" s="1"/>
  <c r="S25" i="43"/>
  <c r="M25" i="43" s="1"/>
  <c r="L25" i="43" s="1"/>
  <c r="K25" i="43" s="1"/>
  <c r="P31" i="43"/>
  <c r="P33" i="43"/>
  <c r="Q104" i="26"/>
  <c r="Q37" i="43" s="1"/>
  <c r="O40" i="43"/>
  <c r="O54" i="43"/>
  <c r="Q107" i="26"/>
  <c r="Q54" i="43" s="1"/>
  <c r="Q112" i="26"/>
  <c r="Q45" i="43" s="1"/>
  <c r="S45" i="43" s="1"/>
  <c r="Q115" i="26"/>
  <c r="S115" i="26" s="1"/>
  <c r="M122" i="26"/>
  <c r="L122" i="26" s="1"/>
  <c r="K122" i="26" s="1"/>
  <c r="I122" i="26" s="1"/>
  <c r="S123" i="26"/>
  <c r="M123" i="26" s="1"/>
  <c r="L123" i="26" s="1"/>
  <c r="K123" i="26" s="1"/>
  <c r="S125" i="26"/>
  <c r="M125" i="26" s="1"/>
  <c r="L125" i="26" s="1"/>
  <c r="K125" i="26" s="1"/>
  <c r="S157" i="26"/>
  <c r="M157" i="26" s="1"/>
  <c r="L157" i="26" s="1"/>
  <c r="K157" i="26" s="1"/>
  <c r="S162" i="26"/>
  <c r="M162" i="26" s="1"/>
  <c r="L162" i="26" s="1"/>
  <c r="K162" i="26" s="1"/>
  <c r="S170" i="26"/>
  <c r="M170" i="26" s="1"/>
  <c r="L170" i="26" s="1"/>
  <c r="K170" i="26" s="1"/>
  <c r="S176" i="26"/>
  <c r="M176" i="26" s="1"/>
  <c r="L176" i="26" s="1"/>
  <c r="K176" i="26" s="1"/>
  <c r="M187" i="26"/>
  <c r="L187" i="26" s="1"/>
  <c r="K187" i="26" s="1"/>
  <c r="S198" i="26"/>
  <c r="M198" i="26" s="1"/>
  <c r="L198" i="26" s="1"/>
  <c r="K198" i="26" s="1"/>
  <c r="I204" i="26"/>
  <c r="H204" i="26"/>
  <c r="H207" i="26"/>
  <c r="I211" i="26"/>
  <c r="H211" i="26"/>
  <c r="I234" i="26"/>
  <c r="H234" i="26"/>
  <c r="H236" i="26"/>
  <c r="I236" i="26"/>
  <c r="I267" i="26"/>
  <c r="H267" i="26"/>
  <c r="I282" i="26"/>
  <c r="H282" i="26"/>
  <c r="O9" i="43"/>
  <c r="I252" i="26"/>
  <c r="H252" i="26"/>
  <c r="S259" i="26"/>
  <c r="M259" i="26" s="1"/>
  <c r="L259" i="26" s="1"/>
  <c r="K259" i="26" s="1"/>
  <c r="S266" i="26"/>
  <c r="M266" i="26" s="1"/>
  <c r="L266" i="26" s="1"/>
  <c r="K266" i="26" s="1"/>
  <c r="I273" i="26"/>
  <c r="H273" i="26"/>
  <c r="I300" i="26"/>
  <c r="H300" i="26"/>
  <c r="I329" i="26"/>
  <c r="H329" i="26"/>
  <c r="S230" i="26"/>
  <c r="M230" i="26" s="1"/>
  <c r="L230" i="26" s="1"/>
  <c r="K230" i="26" s="1"/>
  <c r="S233" i="26"/>
  <c r="M233" i="26" s="1"/>
  <c r="L233" i="26" s="1"/>
  <c r="K233" i="26" s="1"/>
  <c r="S246" i="26"/>
  <c r="M246" i="26" s="1"/>
  <c r="L246" i="26" s="1"/>
  <c r="K246" i="26" s="1"/>
  <c r="H251" i="26"/>
  <c r="I298" i="26"/>
  <c r="H298" i="26"/>
  <c r="I308" i="26"/>
  <c r="H308" i="26"/>
  <c r="S30" i="43"/>
  <c r="M30" i="43" s="1"/>
  <c r="L30" i="43" s="1"/>
  <c r="K30" i="43" s="1"/>
  <c r="S32" i="43"/>
  <c r="M32" i="43" s="1"/>
  <c r="L32" i="43" s="1"/>
  <c r="K32" i="43" s="1"/>
  <c r="O31" i="43"/>
  <c r="O33" i="43"/>
  <c r="M238" i="26"/>
  <c r="L238" i="26" s="1"/>
  <c r="K238" i="26" s="1"/>
  <c r="I290" i="26"/>
  <c r="H290" i="26"/>
  <c r="S328" i="26"/>
  <c r="M328" i="26" s="1"/>
  <c r="L328" i="26" s="1"/>
  <c r="K328" i="26" s="1"/>
  <c r="M270" i="26"/>
  <c r="L270" i="26" s="1"/>
  <c r="K270" i="26" s="1"/>
  <c r="M279" i="26"/>
  <c r="L279" i="26" s="1"/>
  <c r="K279" i="26" s="1"/>
  <c r="I292" i="26"/>
  <c r="H292" i="26"/>
  <c r="H299" i="26"/>
  <c r="S324" i="26"/>
  <c r="M324" i="26" s="1"/>
  <c r="L324" i="26" s="1"/>
  <c r="K324" i="26" s="1"/>
  <c r="S273" i="43"/>
  <c r="M273" i="43" s="1"/>
  <c r="L273" i="43" s="1"/>
  <c r="K273" i="43" s="1"/>
  <c r="I296" i="26"/>
  <c r="H296" i="26"/>
  <c r="I302" i="26"/>
  <c r="H302" i="26"/>
  <c r="I305" i="26"/>
  <c r="H305" i="26"/>
  <c r="M307" i="26"/>
  <c r="L307" i="26" s="1"/>
  <c r="K307" i="26" s="1"/>
  <c r="S307" i="26"/>
  <c r="I312" i="26"/>
  <c r="H312" i="26"/>
  <c r="I314" i="26"/>
  <c r="H314" i="26"/>
  <c r="I316" i="26"/>
  <c r="H316" i="26"/>
  <c r="I318" i="26"/>
  <c r="H318" i="26"/>
  <c r="I320" i="26"/>
  <c r="H320" i="26"/>
  <c r="M325" i="26"/>
  <c r="L325" i="26" s="1"/>
  <c r="K325" i="26" s="1"/>
  <c r="M309" i="26"/>
  <c r="L309" i="26" s="1"/>
  <c r="K309" i="26" s="1"/>
  <c r="M322" i="26"/>
  <c r="L322" i="26" s="1"/>
  <c r="K322" i="26" s="1"/>
  <c r="M326" i="26"/>
  <c r="L326" i="26" s="1"/>
  <c r="K326" i="26" s="1"/>
  <c r="M53" i="43"/>
  <c r="L53" i="43" s="1"/>
  <c r="K53" i="43" s="1"/>
  <c r="S65" i="43"/>
  <c r="M65" i="43" s="1"/>
  <c r="L65" i="43" s="1"/>
  <c r="K65" i="43" s="1"/>
  <c r="I65" i="43" s="1"/>
  <c r="S71" i="43"/>
  <c r="M71" i="43" s="1"/>
  <c r="L71" i="43" s="1"/>
  <c r="K71" i="43" s="1"/>
  <c r="H71" i="43" s="1"/>
  <c r="S270" i="43"/>
  <c r="M270" i="43" s="1"/>
  <c r="L270" i="43" s="1"/>
  <c r="K270" i="43" s="1"/>
  <c r="I148" i="26"/>
  <c r="H148" i="26"/>
  <c r="H150" i="26"/>
  <c r="I150" i="26"/>
  <c r="I151" i="26"/>
  <c r="H151" i="26"/>
  <c r="H147" i="26"/>
  <c r="I138" i="26"/>
  <c r="H138" i="26"/>
  <c r="I137" i="26"/>
  <c r="H137" i="26"/>
  <c r="I135" i="26"/>
  <c r="H135" i="26"/>
  <c r="I141" i="26"/>
  <c r="H141" i="26"/>
  <c r="H134" i="26"/>
  <c r="I134" i="26"/>
  <c r="H136" i="26"/>
  <c r="I136" i="26"/>
  <c r="I139" i="26"/>
  <c r="H140" i="26"/>
  <c r="I140" i="26"/>
  <c r="H142" i="26"/>
  <c r="I142" i="26"/>
  <c r="I144" i="26"/>
  <c r="H144" i="26"/>
  <c r="I143" i="26"/>
  <c r="H143" i="26"/>
  <c r="I145" i="26"/>
  <c r="I213" i="26"/>
  <c r="H213" i="26"/>
  <c r="I215" i="26"/>
  <c r="H215" i="26"/>
  <c r="I217" i="26"/>
  <c r="H217" i="26"/>
  <c r="I220" i="26"/>
  <c r="H220" i="26"/>
  <c r="I133" i="26"/>
  <c r="H133" i="26"/>
  <c r="I173" i="26"/>
  <c r="H173" i="26"/>
  <c r="I221" i="26"/>
  <c r="H221" i="26"/>
  <c r="I181" i="26"/>
  <c r="H181" i="26"/>
  <c r="H197" i="26"/>
  <c r="I197" i="26"/>
  <c r="H202" i="26"/>
  <c r="I202" i="26"/>
  <c r="H214" i="26"/>
  <c r="I214" i="26"/>
  <c r="H216" i="26"/>
  <c r="I216" i="26"/>
  <c r="H218" i="26"/>
  <c r="I218" i="26"/>
  <c r="I219" i="26"/>
  <c r="H219" i="26"/>
  <c r="I222" i="26"/>
  <c r="H222" i="26"/>
  <c r="H166" i="26"/>
  <c r="I166" i="26"/>
  <c r="I223" i="26"/>
  <c r="H223" i="26"/>
  <c r="H79" i="26"/>
  <c r="I82" i="26"/>
  <c r="I83" i="26"/>
  <c r="H83" i="26"/>
  <c r="H85" i="26"/>
  <c r="H86" i="26"/>
  <c r="I87" i="26"/>
  <c r="H87" i="26"/>
  <c r="H88" i="26"/>
  <c r="H90" i="26"/>
  <c r="I91" i="26"/>
  <c r="H91" i="26"/>
  <c r="H93" i="26"/>
  <c r="H94" i="26"/>
  <c r="I95" i="26"/>
  <c r="H95" i="26"/>
  <c r="H96" i="26"/>
  <c r="M20" i="43"/>
  <c r="L20" i="43" s="1"/>
  <c r="K20" i="43" s="1"/>
  <c r="M28" i="43"/>
  <c r="L28" i="43" s="1"/>
  <c r="K28" i="43" s="1"/>
  <c r="M18" i="43"/>
  <c r="L18" i="43" s="1"/>
  <c r="K18" i="43" s="1"/>
  <c r="M26" i="43"/>
  <c r="L26" i="43" s="1"/>
  <c r="K26" i="43" s="1"/>
  <c r="H41" i="26"/>
  <c r="I41" i="26"/>
  <c r="I42" i="26"/>
  <c r="H42" i="26"/>
  <c r="H63" i="26"/>
  <c r="I63" i="26"/>
  <c r="I64" i="26"/>
  <c r="H64" i="26"/>
  <c r="I66" i="26"/>
  <c r="H66" i="26"/>
  <c r="I73" i="26"/>
  <c r="H73" i="26"/>
  <c r="I71" i="26"/>
  <c r="I74" i="26"/>
  <c r="H74" i="26"/>
  <c r="H69" i="26"/>
  <c r="I69" i="26"/>
  <c r="I51" i="26"/>
  <c r="H51" i="26"/>
  <c r="M53" i="26"/>
  <c r="L53" i="26" s="1"/>
  <c r="K53" i="26" s="1"/>
  <c r="I53" i="26" s="1"/>
  <c r="S61" i="26"/>
  <c r="M61" i="26" s="1"/>
  <c r="L61" i="26" s="1"/>
  <c r="K61" i="26" s="1"/>
  <c r="I48" i="26"/>
  <c r="H48" i="26"/>
  <c r="H46" i="26"/>
  <c r="I46" i="26"/>
  <c r="I47" i="26"/>
  <c r="H47" i="26"/>
  <c r="S67" i="26"/>
  <c r="M67" i="26" s="1"/>
  <c r="L67" i="26" s="1"/>
  <c r="K67" i="26" s="1"/>
  <c r="S72" i="26"/>
  <c r="M72" i="26" s="1"/>
  <c r="L72" i="26" s="1"/>
  <c r="K72" i="26" s="1"/>
  <c r="I49" i="26"/>
  <c r="H49" i="26"/>
  <c r="H52" i="26"/>
  <c r="S68" i="26"/>
  <c r="M68" i="26" s="1"/>
  <c r="L68" i="26" s="1"/>
  <c r="K68" i="26" s="1"/>
  <c r="N58" i="26"/>
  <c r="S54" i="26"/>
  <c r="M54" i="26" s="1"/>
  <c r="L54" i="26" s="1"/>
  <c r="K54" i="26" s="1"/>
  <c r="S55" i="26"/>
  <c r="M55" i="26" s="1"/>
  <c r="L55" i="26" s="1"/>
  <c r="K55" i="26" s="1"/>
  <c r="H36" i="26"/>
  <c r="I36" i="26"/>
  <c r="I38" i="26"/>
  <c r="H38" i="26"/>
  <c r="I37" i="26"/>
  <c r="H37" i="26"/>
  <c r="I33" i="26"/>
  <c r="H33" i="26"/>
  <c r="I34" i="26"/>
  <c r="H34" i="26"/>
  <c r="I31" i="26"/>
  <c r="H31" i="26"/>
  <c r="I25" i="26"/>
  <c r="H25" i="26"/>
  <c r="H26" i="26"/>
  <c r="I26" i="26"/>
  <c r="I27" i="26"/>
  <c r="H27" i="26"/>
  <c r="I28" i="26"/>
  <c r="H28" i="26"/>
  <c r="H75" i="26" s="1"/>
  <c r="I24" i="26"/>
  <c r="H24" i="26"/>
  <c r="I21" i="26"/>
  <c r="H21" i="26"/>
  <c r="I30" i="26"/>
  <c r="H30" i="26"/>
  <c r="H22" i="26"/>
  <c r="I22" i="26"/>
  <c r="H43" i="26"/>
  <c r="I43" i="26"/>
  <c r="I62" i="26"/>
  <c r="H62" i="26"/>
  <c r="I40" i="26"/>
  <c r="H40" i="26"/>
  <c r="I45" i="26"/>
  <c r="H45" i="26"/>
  <c r="I56" i="26"/>
  <c r="H56" i="26"/>
  <c r="I65" i="26"/>
  <c r="H65" i="26"/>
  <c r="I39" i="26"/>
  <c r="H39" i="26"/>
  <c r="I50" i="26"/>
  <c r="H50" i="26"/>
  <c r="I23" i="26"/>
  <c r="H23" i="26"/>
  <c r="H20" i="26"/>
  <c r="I20" i="26"/>
  <c r="I29" i="26"/>
  <c r="H29" i="26"/>
  <c r="I70" i="26"/>
  <c r="H70" i="26"/>
  <c r="I12" i="26"/>
  <c r="H12" i="26"/>
  <c r="I16" i="26"/>
  <c r="H16" i="26"/>
  <c r="I14" i="26"/>
  <c r="H14" i="26"/>
  <c r="I13" i="26"/>
  <c r="H13" i="26"/>
  <c r="I17" i="26"/>
  <c r="H17" i="26"/>
  <c r="I11" i="26"/>
  <c r="H11" i="26"/>
  <c r="I15" i="26"/>
  <c r="H15" i="26"/>
  <c r="H6" i="26"/>
  <c r="I6" i="26"/>
  <c r="H8" i="26"/>
  <c r="I8" i="26"/>
  <c r="I7" i="26"/>
  <c r="H7" i="26"/>
  <c r="I7" i="52"/>
  <c r="H7" i="52"/>
  <c r="I13" i="52"/>
  <c r="H13" i="52"/>
  <c r="I10" i="52"/>
  <c r="H10" i="52"/>
  <c r="I8" i="52"/>
  <c r="H8" i="52"/>
  <c r="H14" i="52" s="1"/>
  <c r="E6" i="57" s="1"/>
  <c r="I6" i="52"/>
  <c r="I11" i="52"/>
  <c r="H11" i="52"/>
  <c r="I9" i="52"/>
  <c r="H9" i="52"/>
  <c r="I12" i="52"/>
  <c r="H12" i="52"/>
  <c r="M154" i="50"/>
  <c r="L154" i="50"/>
  <c r="K154" i="50"/>
  <c r="J154" i="50"/>
  <c r="J157" i="50"/>
  <c r="M157" i="50"/>
  <c r="L157" i="50"/>
  <c r="K157" i="50"/>
  <c r="L159" i="50"/>
  <c r="K159" i="50"/>
  <c r="J159" i="50"/>
  <c r="M159" i="50"/>
  <c r="L161" i="50"/>
  <c r="K161" i="50"/>
  <c r="J161" i="50"/>
  <c r="M161" i="50"/>
  <c r="L163" i="50"/>
  <c r="K163" i="50"/>
  <c r="J163" i="50"/>
  <c r="M163" i="50"/>
  <c r="L165" i="50"/>
  <c r="K165" i="50"/>
  <c r="J165" i="50"/>
  <c r="M165" i="50"/>
  <c r="M156" i="50"/>
  <c r="L156" i="50"/>
  <c r="K156" i="50"/>
  <c r="J156" i="50"/>
  <c r="M152" i="50"/>
  <c r="L152" i="50"/>
  <c r="K152" i="50"/>
  <c r="J152" i="50"/>
  <c r="M153" i="50"/>
  <c r="M155" i="50"/>
  <c r="M158" i="50"/>
  <c r="L160" i="50"/>
  <c r="L162" i="50"/>
  <c r="L164" i="50"/>
  <c r="L166" i="50"/>
  <c r="J158" i="50"/>
  <c r="M160" i="50"/>
  <c r="M162" i="50"/>
  <c r="M164" i="50"/>
  <c r="M166" i="50"/>
  <c r="J141" i="50"/>
  <c r="M141" i="50"/>
  <c r="L141" i="50"/>
  <c r="K141" i="50"/>
  <c r="M390" i="50"/>
  <c r="L390" i="50"/>
  <c r="K390" i="50"/>
  <c r="J390" i="50"/>
  <c r="J143" i="50"/>
  <c r="M143" i="50"/>
  <c r="L143" i="50"/>
  <c r="K143" i="50"/>
  <c r="J146" i="50"/>
  <c r="M146" i="50"/>
  <c r="L146" i="50"/>
  <c r="K146" i="50"/>
  <c r="L381" i="50"/>
  <c r="K381" i="50"/>
  <c r="J381" i="50"/>
  <c r="M381" i="50"/>
  <c r="J145" i="50"/>
  <c r="M145" i="50"/>
  <c r="L145" i="50"/>
  <c r="K145" i="50"/>
  <c r="J148" i="50"/>
  <c r="M148" i="50"/>
  <c r="L148" i="50"/>
  <c r="K148" i="50"/>
  <c r="M382" i="50"/>
  <c r="L382" i="50"/>
  <c r="K382" i="50"/>
  <c r="J382" i="50"/>
  <c r="L385" i="50"/>
  <c r="K385" i="50"/>
  <c r="J385" i="50"/>
  <c r="M385" i="50"/>
  <c r="J139" i="50"/>
  <c r="M139" i="50"/>
  <c r="L139" i="50"/>
  <c r="K139" i="50"/>
  <c r="J150" i="50"/>
  <c r="M150" i="50"/>
  <c r="L150" i="50"/>
  <c r="K150" i="50"/>
  <c r="M386" i="50"/>
  <c r="L386" i="50"/>
  <c r="K386" i="50"/>
  <c r="J386" i="50"/>
  <c r="L389" i="50"/>
  <c r="K389" i="50"/>
  <c r="J389" i="50"/>
  <c r="M389" i="50"/>
  <c r="M138" i="50"/>
  <c r="M140" i="50"/>
  <c r="M142" i="50"/>
  <c r="M144" i="50"/>
  <c r="M147" i="50"/>
  <c r="M149" i="50"/>
  <c r="Q379" i="50"/>
  <c r="R379" i="50" s="1"/>
  <c r="R380" i="50"/>
  <c r="Q383" i="50"/>
  <c r="R383" i="50" s="1"/>
  <c r="R384" i="50"/>
  <c r="Q387" i="50"/>
  <c r="R387" i="50" s="1"/>
  <c r="R388" i="50"/>
  <c r="Q391" i="50"/>
  <c r="R391" i="50" s="1"/>
  <c r="L117" i="50"/>
  <c r="K117" i="50"/>
  <c r="J117" i="50"/>
  <c r="M117" i="50"/>
  <c r="J125" i="50"/>
  <c r="M125" i="50"/>
  <c r="L125" i="50"/>
  <c r="K125" i="50"/>
  <c r="J128" i="50"/>
  <c r="M128" i="50"/>
  <c r="L128" i="50"/>
  <c r="K128" i="50"/>
  <c r="L134" i="50"/>
  <c r="K134" i="50"/>
  <c r="J134" i="50"/>
  <c r="M134" i="50"/>
  <c r="L129" i="50"/>
  <c r="K129" i="50"/>
  <c r="J129" i="50"/>
  <c r="M129" i="50"/>
  <c r="J135" i="50"/>
  <c r="M135" i="50"/>
  <c r="L135" i="50"/>
  <c r="K135" i="50"/>
  <c r="M127" i="50"/>
  <c r="L127" i="50"/>
  <c r="K127" i="50"/>
  <c r="J127" i="50"/>
  <c r="J130" i="50"/>
  <c r="M130" i="50"/>
  <c r="L130" i="50"/>
  <c r="K130" i="50"/>
  <c r="L136" i="50"/>
  <c r="K136" i="50"/>
  <c r="J136" i="50"/>
  <c r="M136" i="50"/>
  <c r="J119" i="50"/>
  <c r="M119" i="50"/>
  <c r="L119" i="50"/>
  <c r="K119" i="50"/>
  <c r="L124" i="50"/>
  <c r="K124" i="50"/>
  <c r="J124" i="50"/>
  <c r="M124" i="50"/>
  <c r="L116" i="50"/>
  <c r="J118" i="50"/>
  <c r="L120" i="50"/>
  <c r="J121" i="50"/>
  <c r="L122" i="50"/>
  <c r="L123" i="50"/>
  <c r="J132" i="50"/>
  <c r="L133" i="50"/>
  <c r="M116" i="50"/>
  <c r="L121" i="50"/>
  <c r="Q126" i="50"/>
  <c r="R126" i="50" s="1"/>
  <c r="Q131" i="50"/>
  <c r="R131" i="50" s="1"/>
  <c r="L132" i="50"/>
  <c r="L90" i="50"/>
  <c r="K90" i="50"/>
  <c r="J90" i="50"/>
  <c r="M90" i="50"/>
  <c r="L94" i="50"/>
  <c r="K94" i="50"/>
  <c r="J94" i="50"/>
  <c r="M94" i="50"/>
  <c r="M107" i="50"/>
  <c r="L107" i="50"/>
  <c r="K107" i="50"/>
  <c r="J107" i="50"/>
  <c r="J91" i="50"/>
  <c r="M91" i="50"/>
  <c r="L91" i="50"/>
  <c r="K91" i="50"/>
  <c r="J95" i="50"/>
  <c r="M95" i="50"/>
  <c r="L95" i="50"/>
  <c r="K95" i="50"/>
  <c r="M98" i="50"/>
  <c r="L98" i="50"/>
  <c r="K98" i="50"/>
  <c r="J98" i="50"/>
  <c r="K100" i="50"/>
  <c r="J100" i="50"/>
  <c r="M100" i="50"/>
  <c r="L100" i="50"/>
  <c r="M106" i="50"/>
  <c r="L106" i="50"/>
  <c r="K106" i="50"/>
  <c r="J106" i="50"/>
  <c r="L92" i="50"/>
  <c r="K92" i="50"/>
  <c r="J92" i="50"/>
  <c r="M92" i="50"/>
  <c r="J103" i="50"/>
  <c r="M103" i="50"/>
  <c r="L103" i="50"/>
  <c r="K103" i="50"/>
  <c r="Q109" i="50"/>
  <c r="R109" i="50" s="1"/>
  <c r="Q113" i="50"/>
  <c r="R113" i="50" s="1"/>
  <c r="Q375" i="50"/>
  <c r="R375" i="50" s="1"/>
  <c r="J93" i="50"/>
  <c r="M93" i="50"/>
  <c r="L93" i="50"/>
  <c r="K93" i="50"/>
  <c r="K96" i="50"/>
  <c r="J96" i="50"/>
  <c r="M96" i="50"/>
  <c r="L96" i="50"/>
  <c r="J99" i="50"/>
  <c r="M99" i="50"/>
  <c r="L99" i="50"/>
  <c r="K99" i="50"/>
  <c r="M102" i="50"/>
  <c r="L102" i="50"/>
  <c r="K102" i="50"/>
  <c r="J102" i="50"/>
  <c r="L89" i="50"/>
  <c r="Q108" i="50"/>
  <c r="R108" i="50" s="1"/>
  <c r="P112" i="50"/>
  <c r="Q374" i="50"/>
  <c r="R374" i="50" s="1"/>
  <c r="Q97" i="50"/>
  <c r="R97" i="50" s="1"/>
  <c r="Q101" i="50"/>
  <c r="R101" i="50" s="1"/>
  <c r="Q104" i="50"/>
  <c r="Q105" i="50"/>
  <c r="R105" i="50" s="1"/>
  <c r="P110" i="50"/>
  <c r="Q111" i="50"/>
  <c r="R111" i="50" s="1"/>
  <c r="P114" i="50"/>
  <c r="Q372" i="50"/>
  <c r="R372" i="50" s="1"/>
  <c r="R373" i="50"/>
  <c r="R104" i="50"/>
  <c r="M65" i="50"/>
  <c r="L65" i="50"/>
  <c r="K65" i="50"/>
  <c r="J65" i="50"/>
  <c r="K66" i="50"/>
  <c r="J66" i="50"/>
  <c r="M66" i="50"/>
  <c r="L66" i="50"/>
  <c r="M82" i="50"/>
  <c r="L82" i="50"/>
  <c r="K82" i="50"/>
  <c r="J82" i="50"/>
  <c r="M64" i="50"/>
  <c r="Q68" i="50"/>
  <c r="P404" i="50"/>
  <c r="P232" i="50"/>
  <c r="P289" i="50"/>
  <c r="L72" i="50"/>
  <c r="K73" i="50"/>
  <c r="J85" i="50"/>
  <c r="R227" i="50"/>
  <c r="R229" i="50"/>
  <c r="Q232" i="50"/>
  <c r="L398" i="50"/>
  <c r="K398" i="50"/>
  <c r="J398" i="50"/>
  <c r="M398" i="50"/>
  <c r="J64" i="50"/>
  <c r="R68" i="50"/>
  <c r="R69" i="50"/>
  <c r="Q70" i="50"/>
  <c r="R71" i="50"/>
  <c r="M72" i="50"/>
  <c r="L73" i="50"/>
  <c r="M75" i="50"/>
  <c r="L75" i="50"/>
  <c r="M78" i="50"/>
  <c r="L78" i="50"/>
  <c r="L87" i="50"/>
  <c r="J87" i="50"/>
  <c r="M87" i="50"/>
  <c r="L367" i="50"/>
  <c r="K367" i="50"/>
  <c r="J367" i="50"/>
  <c r="M367" i="50"/>
  <c r="M399" i="50"/>
  <c r="L399" i="50"/>
  <c r="K399" i="50"/>
  <c r="J399" i="50"/>
  <c r="L402" i="50"/>
  <c r="K402" i="50"/>
  <c r="J402" i="50"/>
  <c r="M402" i="50"/>
  <c r="Q233" i="50"/>
  <c r="R233" i="50" s="1"/>
  <c r="P231" i="50"/>
  <c r="P288" i="50"/>
  <c r="P403" i="50"/>
  <c r="M80" i="50"/>
  <c r="L80" i="50"/>
  <c r="M85" i="50"/>
  <c r="L85" i="50"/>
  <c r="Q86" i="50"/>
  <c r="R86" i="50" s="1"/>
  <c r="K226" i="50"/>
  <c r="J226" i="50"/>
  <c r="M226" i="50"/>
  <c r="L226" i="50"/>
  <c r="K228" i="50"/>
  <c r="J228" i="50"/>
  <c r="M228" i="50"/>
  <c r="L228" i="50"/>
  <c r="K230" i="50"/>
  <c r="J230" i="50"/>
  <c r="M230" i="50"/>
  <c r="L230" i="50"/>
  <c r="M368" i="50"/>
  <c r="L368" i="50"/>
  <c r="K368" i="50"/>
  <c r="J368" i="50"/>
  <c r="Q286" i="50"/>
  <c r="R286" i="50" s="1"/>
  <c r="Q287" i="50"/>
  <c r="R287" i="50" s="1"/>
  <c r="R70" i="50"/>
  <c r="J72" i="50"/>
  <c r="J80" i="50"/>
  <c r="Q231" i="50"/>
  <c r="R295" i="50"/>
  <c r="R234" i="50"/>
  <c r="R235" i="50"/>
  <c r="R290" i="50"/>
  <c r="R291" i="50"/>
  <c r="R292" i="50"/>
  <c r="R293" i="50"/>
  <c r="R294" i="50"/>
  <c r="Q365" i="50"/>
  <c r="R365" i="50" s="1"/>
  <c r="R366" i="50"/>
  <c r="Q369" i="50"/>
  <c r="R369" i="50" s="1"/>
  <c r="R370" i="50"/>
  <c r="R397" i="50"/>
  <c r="Q400" i="50"/>
  <c r="R400" i="50" s="1"/>
  <c r="R401" i="50"/>
  <c r="L46" i="50"/>
  <c r="K46" i="50"/>
  <c r="J46" i="50"/>
  <c r="M46" i="50"/>
  <c r="L48" i="50"/>
  <c r="K48" i="50"/>
  <c r="J48" i="50"/>
  <c r="M48" i="50"/>
  <c r="L50" i="50"/>
  <c r="K50" i="50"/>
  <c r="J50" i="50"/>
  <c r="M50" i="50"/>
  <c r="L52" i="50"/>
  <c r="K52" i="50"/>
  <c r="J52" i="50"/>
  <c r="M52" i="50"/>
  <c r="M55" i="50"/>
  <c r="L55" i="50"/>
  <c r="K55" i="50"/>
  <c r="J55" i="50"/>
  <c r="J356" i="50"/>
  <c r="M356" i="50"/>
  <c r="L356" i="50"/>
  <c r="K356" i="50"/>
  <c r="L57" i="50"/>
  <c r="K57" i="50"/>
  <c r="J57" i="50"/>
  <c r="M57" i="50"/>
  <c r="K357" i="50"/>
  <c r="J357" i="50"/>
  <c r="M357" i="50"/>
  <c r="L357" i="50"/>
  <c r="M53" i="50"/>
  <c r="L53" i="50"/>
  <c r="K53" i="50"/>
  <c r="J53" i="50"/>
  <c r="K59" i="50"/>
  <c r="J59" i="50"/>
  <c r="M59" i="50"/>
  <c r="L59" i="50"/>
  <c r="P362" i="50"/>
  <c r="L47" i="50"/>
  <c r="L49" i="50"/>
  <c r="L51" i="50"/>
  <c r="L56" i="50"/>
  <c r="L58" i="50"/>
  <c r="Q359" i="50"/>
  <c r="R359" i="50" s="1"/>
  <c r="P361" i="50"/>
  <c r="M47" i="50"/>
  <c r="M49" i="50"/>
  <c r="M51" i="50"/>
  <c r="M56" i="50"/>
  <c r="M58" i="50"/>
  <c r="Q60" i="50"/>
  <c r="R60" i="50" s="1"/>
  <c r="Q358" i="50"/>
  <c r="R358" i="50" s="1"/>
  <c r="M33" i="50"/>
  <c r="L33" i="50"/>
  <c r="K33" i="50"/>
  <c r="J33" i="50"/>
  <c r="L38" i="50"/>
  <c r="K38" i="50"/>
  <c r="J38" i="50"/>
  <c r="M38" i="50"/>
  <c r="L42" i="50"/>
  <c r="K42" i="50"/>
  <c r="J42" i="50"/>
  <c r="M42" i="50"/>
  <c r="R343" i="50"/>
  <c r="R347" i="50"/>
  <c r="R350" i="50"/>
  <c r="K305" i="50"/>
  <c r="J305" i="50"/>
  <c r="M305" i="50"/>
  <c r="L305" i="50"/>
  <c r="R344" i="50"/>
  <c r="R351" i="50"/>
  <c r="M39" i="50"/>
  <c r="L39" i="50"/>
  <c r="K39" i="50"/>
  <c r="J39" i="50"/>
  <c r="L43" i="50"/>
  <c r="K43" i="50"/>
  <c r="J43" i="50"/>
  <c r="M43" i="50"/>
  <c r="K304" i="50"/>
  <c r="J304" i="50"/>
  <c r="M304" i="50"/>
  <c r="L304" i="50"/>
  <c r="R345" i="50"/>
  <c r="R348" i="50"/>
  <c r="M36" i="50"/>
  <c r="L36" i="50"/>
  <c r="K36" i="50"/>
  <c r="J36" i="50"/>
  <c r="R298" i="50"/>
  <c r="K303" i="50"/>
  <c r="J303" i="50"/>
  <c r="M303" i="50"/>
  <c r="L303" i="50"/>
  <c r="R346" i="50"/>
  <c r="R349" i="50"/>
  <c r="R352" i="50"/>
  <c r="L34" i="50"/>
  <c r="M37" i="50"/>
  <c r="L40" i="50"/>
  <c r="M41" i="50"/>
  <c r="Q297" i="50"/>
  <c r="R297" i="50" s="1"/>
  <c r="Q298" i="50"/>
  <c r="Q299" i="50"/>
  <c r="R299" i="50" s="1"/>
  <c r="Q300" i="50"/>
  <c r="R300" i="50" s="1"/>
  <c r="Q301" i="50"/>
  <c r="R301" i="50" s="1"/>
  <c r="M34" i="50"/>
  <c r="J37" i="50"/>
  <c r="M40" i="50"/>
  <c r="J41" i="50"/>
  <c r="Q44" i="50"/>
  <c r="R44" i="50" s="1"/>
  <c r="K25" i="50"/>
  <c r="J25" i="50"/>
  <c r="M25" i="50"/>
  <c r="L25" i="50"/>
  <c r="K23" i="50"/>
  <c r="J23" i="50"/>
  <c r="M23" i="50"/>
  <c r="L23" i="50"/>
  <c r="K29" i="50"/>
  <c r="J29" i="50"/>
  <c r="M29" i="50"/>
  <c r="L29" i="50"/>
  <c r="K27" i="50"/>
  <c r="M27" i="50"/>
  <c r="J27" i="50"/>
  <c r="L27" i="50"/>
  <c r="J24" i="50"/>
  <c r="J26" i="50"/>
  <c r="J28" i="50"/>
  <c r="J30" i="50"/>
  <c r="K28" i="50"/>
  <c r="L24" i="50"/>
  <c r="L26" i="50"/>
  <c r="L28" i="50"/>
  <c r="L30" i="50"/>
  <c r="K24" i="50"/>
  <c r="K26" i="50"/>
  <c r="K16" i="50"/>
  <c r="J16" i="50"/>
  <c r="M16" i="50"/>
  <c r="L16" i="50"/>
  <c r="K20" i="50"/>
  <c r="J20" i="50"/>
  <c r="M20" i="50"/>
  <c r="L20" i="50"/>
  <c r="M17" i="50"/>
  <c r="L17" i="50"/>
  <c r="K17" i="50"/>
  <c r="J17" i="50"/>
  <c r="M21" i="50"/>
  <c r="L21" i="50"/>
  <c r="K21" i="50"/>
  <c r="J21" i="50"/>
  <c r="K18" i="50"/>
  <c r="J18" i="50"/>
  <c r="M18" i="50"/>
  <c r="L18" i="50"/>
  <c r="M19" i="50"/>
  <c r="L19" i="50"/>
  <c r="K19" i="50"/>
  <c r="J19" i="50"/>
  <c r="J324" i="50"/>
  <c r="M324" i="50"/>
  <c r="L324" i="50"/>
  <c r="K324" i="50"/>
  <c r="M7" i="50"/>
  <c r="L7" i="50"/>
  <c r="K7" i="50"/>
  <c r="J7" i="50"/>
  <c r="L12" i="50"/>
  <c r="K12" i="50"/>
  <c r="J12" i="50"/>
  <c r="M12" i="50"/>
  <c r="J14" i="50"/>
  <c r="M14" i="50"/>
  <c r="L14" i="50"/>
  <c r="K14" i="50"/>
  <c r="K321" i="50"/>
  <c r="J321" i="50"/>
  <c r="M321" i="50"/>
  <c r="L321" i="50"/>
  <c r="M9" i="50"/>
  <c r="L9" i="50"/>
  <c r="K9" i="50"/>
  <c r="J9" i="50"/>
  <c r="M11" i="50"/>
  <c r="L11" i="50"/>
  <c r="J11" i="50"/>
  <c r="K11" i="50"/>
  <c r="M13" i="50"/>
  <c r="L13" i="50"/>
  <c r="K13" i="50"/>
  <c r="J13" i="50"/>
  <c r="J320" i="50"/>
  <c r="M320" i="50"/>
  <c r="L320" i="50"/>
  <c r="K320" i="50"/>
  <c r="M6" i="50"/>
  <c r="M8" i="50"/>
  <c r="M10" i="50"/>
  <c r="Q323" i="50"/>
  <c r="R323" i="50" s="1"/>
  <c r="Q322" i="50"/>
  <c r="R322" i="50" s="1"/>
  <c r="S103" i="26"/>
  <c r="S104" i="26"/>
  <c r="S105" i="26"/>
  <c r="S46" i="43"/>
  <c r="M46" i="43" s="1"/>
  <c r="L46" i="43" s="1"/>
  <c r="K46" i="43" s="1"/>
  <c r="H121" i="26"/>
  <c r="I121" i="26"/>
  <c r="I124" i="26"/>
  <c r="H124" i="26"/>
  <c r="H129" i="26"/>
  <c r="I129" i="26"/>
  <c r="I69" i="43"/>
  <c r="M103" i="26"/>
  <c r="L103" i="26" s="1"/>
  <c r="K103" i="26" s="1"/>
  <c r="M104" i="26"/>
  <c r="L104" i="26" s="1"/>
  <c r="K104" i="26" s="1"/>
  <c r="M105" i="26"/>
  <c r="L105" i="26" s="1"/>
  <c r="K105" i="26" s="1"/>
  <c r="Q40" i="43"/>
  <c r="S107" i="26"/>
  <c r="M107" i="26" s="1"/>
  <c r="L107" i="26" s="1"/>
  <c r="K107" i="26" s="1"/>
  <c r="Q42" i="43"/>
  <c r="S109" i="26"/>
  <c r="M109" i="26" s="1"/>
  <c r="L109" i="26" s="1"/>
  <c r="K109" i="26" s="1"/>
  <c r="I114" i="26"/>
  <c r="H122" i="26"/>
  <c r="S37" i="43"/>
  <c r="M37" i="43" s="1"/>
  <c r="L37" i="43" s="1"/>
  <c r="K37" i="43" s="1"/>
  <c r="H65" i="43"/>
  <c r="I120" i="26"/>
  <c r="H120" i="26"/>
  <c r="H125" i="26"/>
  <c r="I125" i="26"/>
  <c r="H127" i="26"/>
  <c r="I128" i="26"/>
  <c r="I71" i="43"/>
  <c r="S38" i="43"/>
  <c r="M38" i="43" s="1"/>
  <c r="L38" i="43" s="1"/>
  <c r="K38" i="43" s="1"/>
  <c r="Q39" i="43"/>
  <c r="S106" i="26"/>
  <c r="M106" i="26" s="1"/>
  <c r="L106" i="26" s="1"/>
  <c r="K106" i="26" s="1"/>
  <c r="Q41" i="43"/>
  <c r="S41" i="43" s="1"/>
  <c r="M41" i="43" s="1"/>
  <c r="L41" i="43" s="1"/>
  <c r="K41" i="43" s="1"/>
  <c r="S108" i="26"/>
  <c r="M108" i="26" s="1"/>
  <c r="L108" i="26" s="1"/>
  <c r="K108" i="26" s="1"/>
  <c r="Q43" i="43"/>
  <c r="S43" i="43" s="1"/>
  <c r="S110" i="26"/>
  <c r="M110" i="26" s="1"/>
  <c r="L110" i="26" s="1"/>
  <c r="K110" i="26" s="1"/>
  <c r="H116" i="26"/>
  <c r="I116" i="26"/>
  <c r="H119" i="26"/>
  <c r="I119" i="26"/>
  <c r="I126" i="26"/>
  <c r="H126" i="26"/>
  <c r="S44" i="43"/>
  <c r="M44" i="43" s="1"/>
  <c r="L44" i="43" s="1"/>
  <c r="K44" i="43" s="1"/>
  <c r="S52" i="43"/>
  <c r="M52" i="43" s="1"/>
  <c r="L52" i="43" s="1"/>
  <c r="K52" i="43" s="1"/>
  <c r="S111" i="26"/>
  <c r="M111" i="26" s="1"/>
  <c r="L111" i="26" s="1"/>
  <c r="K111" i="26" s="1"/>
  <c r="S112" i="26"/>
  <c r="M112" i="26" s="1"/>
  <c r="L112" i="26" s="1"/>
  <c r="K112" i="26" s="1"/>
  <c r="S113" i="26"/>
  <c r="M113" i="26" s="1"/>
  <c r="L113" i="26" s="1"/>
  <c r="K113" i="26" s="1"/>
  <c r="S47" i="43"/>
  <c r="M47" i="43" s="1"/>
  <c r="L47" i="43" s="1"/>
  <c r="K47" i="43" s="1"/>
  <c r="Q49" i="43"/>
  <c r="M68" i="43"/>
  <c r="L68" i="43" s="1"/>
  <c r="K68" i="43" s="1"/>
  <c r="M62" i="43"/>
  <c r="L62" i="43" s="1"/>
  <c r="K62" i="43" s="1"/>
  <c r="M66" i="43"/>
  <c r="L66" i="43" s="1"/>
  <c r="K66" i="43" s="1"/>
  <c r="M70" i="43"/>
  <c r="L70" i="43" s="1"/>
  <c r="K70" i="43" s="1"/>
  <c r="J17" i="31"/>
  <c r="I17" i="31"/>
  <c r="J25" i="31"/>
  <c r="I25" i="31"/>
  <c r="I26" i="31" s="1"/>
  <c r="I6" i="31"/>
  <c r="J6" i="31"/>
  <c r="J8" i="31"/>
  <c r="I8" i="31"/>
  <c r="I10" i="31"/>
  <c r="J10" i="31"/>
  <c r="I16" i="31"/>
  <c r="J16" i="31"/>
  <c r="I24" i="31"/>
  <c r="J24" i="31"/>
  <c r="J18" i="31"/>
  <c r="I18" i="31"/>
  <c r="J5" i="31"/>
  <c r="I5" i="31"/>
  <c r="J7" i="31"/>
  <c r="I7" i="31"/>
  <c r="J9" i="31"/>
  <c r="I9" i="31"/>
  <c r="J15" i="31"/>
  <c r="I15" i="31"/>
  <c r="I19" i="31"/>
  <c r="J19" i="31"/>
  <c r="J23" i="31"/>
  <c r="I23" i="31"/>
  <c r="T11" i="31"/>
  <c r="N11" i="31" s="1"/>
  <c r="M11" i="31" s="1"/>
  <c r="L11" i="31" s="1"/>
  <c r="T12" i="31"/>
  <c r="N12" i="31" s="1"/>
  <c r="M12" i="31" s="1"/>
  <c r="L12" i="31" s="1"/>
  <c r="T13" i="31"/>
  <c r="N13" i="31" s="1"/>
  <c r="M13" i="31" s="1"/>
  <c r="L13" i="31" s="1"/>
  <c r="T14" i="31"/>
  <c r="N14" i="31" s="1"/>
  <c r="M14" i="31" s="1"/>
  <c r="L14" i="31" s="1"/>
  <c r="T20" i="31"/>
  <c r="N20" i="31" s="1"/>
  <c r="M20" i="31" s="1"/>
  <c r="L20" i="31" s="1"/>
  <c r="T21" i="31"/>
  <c r="N21" i="31" s="1"/>
  <c r="M21" i="31" s="1"/>
  <c r="L21" i="31" s="1"/>
  <c r="T22" i="31"/>
  <c r="N22" i="31" s="1"/>
  <c r="M22" i="31" s="1"/>
  <c r="L22" i="31" s="1"/>
  <c r="I330" i="26" l="1"/>
  <c r="I217" i="43"/>
  <c r="H217" i="43"/>
  <c r="H244" i="26"/>
  <c r="I244" i="26"/>
  <c r="H99" i="26"/>
  <c r="I97" i="26"/>
  <c r="I89" i="26"/>
  <c r="I81" i="26"/>
  <c r="H92" i="26"/>
  <c r="H84" i="26"/>
  <c r="G14" i="57"/>
  <c r="C19" i="57"/>
  <c r="D8" i="56"/>
  <c r="G8" i="56"/>
  <c r="P24" i="51"/>
  <c r="L23" i="51"/>
  <c r="Q23" i="51" s="1"/>
  <c r="R23" i="51" s="1"/>
  <c r="L7" i="51"/>
  <c r="L24" i="51" s="1"/>
  <c r="H16" i="56" s="1"/>
  <c r="F9" i="51"/>
  <c r="Q9" i="51" s="1"/>
  <c r="R9" i="51" s="1"/>
  <c r="J24" i="51"/>
  <c r="J330" i="50"/>
  <c r="M330" i="50"/>
  <c r="L330" i="50"/>
  <c r="K330" i="50"/>
  <c r="L333" i="50"/>
  <c r="K333" i="50"/>
  <c r="J333" i="50"/>
  <c r="M333" i="50"/>
  <c r="L338" i="50"/>
  <c r="K338" i="50"/>
  <c r="J338" i="50"/>
  <c r="M338" i="50"/>
  <c r="L332" i="50"/>
  <c r="K332" i="50"/>
  <c r="J332" i="50"/>
  <c r="M332" i="50"/>
  <c r="L337" i="50"/>
  <c r="K337" i="50"/>
  <c r="J337" i="50"/>
  <c r="M337" i="50"/>
  <c r="K331" i="50"/>
  <c r="J331" i="50"/>
  <c r="M331" i="50"/>
  <c r="L331" i="50"/>
  <c r="L335" i="50"/>
  <c r="K335" i="50"/>
  <c r="J335" i="50"/>
  <c r="M335" i="50"/>
  <c r="L334" i="50"/>
  <c r="K334" i="50"/>
  <c r="J334" i="50"/>
  <c r="M334" i="50"/>
  <c r="J220" i="50"/>
  <c r="M220" i="50"/>
  <c r="L220" i="50"/>
  <c r="K220" i="50"/>
  <c r="J218" i="50"/>
  <c r="M218" i="50"/>
  <c r="L218" i="50"/>
  <c r="K218" i="50"/>
  <c r="J217" i="50"/>
  <c r="M217" i="50"/>
  <c r="L217" i="50"/>
  <c r="K217" i="50"/>
  <c r="J210" i="50"/>
  <c r="M210" i="50"/>
  <c r="L210" i="50"/>
  <c r="K210" i="50"/>
  <c r="J219" i="50"/>
  <c r="M219" i="50"/>
  <c r="L219" i="50"/>
  <c r="K219" i="50"/>
  <c r="J259" i="50"/>
  <c r="M259" i="50"/>
  <c r="L259" i="50"/>
  <c r="K259" i="50"/>
  <c r="L265" i="50"/>
  <c r="K265" i="50"/>
  <c r="J265" i="50"/>
  <c r="M265" i="50"/>
  <c r="K276" i="50"/>
  <c r="J276" i="50"/>
  <c r="M276" i="50"/>
  <c r="L276" i="50"/>
  <c r="K268" i="50"/>
  <c r="J268" i="50"/>
  <c r="M268" i="50"/>
  <c r="L268" i="50"/>
  <c r="L269" i="50"/>
  <c r="K269" i="50"/>
  <c r="J269" i="50"/>
  <c r="M269" i="50"/>
  <c r="M274" i="50"/>
  <c r="L274" i="50"/>
  <c r="K274" i="50"/>
  <c r="J274" i="50"/>
  <c r="M266" i="50"/>
  <c r="L266" i="50"/>
  <c r="K266" i="50"/>
  <c r="J266" i="50"/>
  <c r="K264" i="50"/>
  <c r="J264" i="50"/>
  <c r="M264" i="50"/>
  <c r="L264" i="50"/>
  <c r="L261" i="50"/>
  <c r="K261" i="50"/>
  <c r="J261" i="50"/>
  <c r="M261" i="50"/>
  <c r="L273" i="50"/>
  <c r="K273" i="50"/>
  <c r="J273" i="50"/>
  <c r="M273" i="50"/>
  <c r="K280" i="50"/>
  <c r="J280" i="50"/>
  <c r="M280" i="50"/>
  <c r="L280" i="50"/>
  <c r="K272" i="50"/>
  <c r="J272" i="50"/>
  <c r="M272" i="50"/>
  <c r="L272" i="50"/>
  <c r="J263" i="50"/>
  <c r="M263" i="50"/>
  <c r="L263" i="50"/>
  <c r="K263" i="50"/>
  <c r="K260" i="50"/>
  <c r="J260" i="50"/>
  <c r="M260" i="50"/>
  <c r="L260" i="50"/>
  <c r="L277" i="50"/>
  <c r="K277" i="50"/>
  <c r="J277" i="50"/>
  <c r="M277" i="50"/>
  <c r="M278" i="50"/>
  <c r="L278" i="50"/>
  <c r="K278" i="50"/>
  <c r="J278" i="50"/>
  <c r="M270" i="50"/>
  <c r="L270" i="50"/>
  <c r="K270" i="50"/>
  <c r="J270" i="50"/>
  <c r="M262" i="50"/>
  <c r="L262" i="50"/>
  <c r="K262" i="50"/>
  <c r="J262" i="50"/>
  <c r="J279" i="50"/>
  <c r="M279" i="50"/>
  <c r="L279" i="50"/>
  <c r="K279" i="50"/>
  <c r="J275" i="50"/>
  <c r="M275" i="50"/>
  <c r="L275" i="50"/>
  <c r="K275" i="50"/>
  <c r="J271" i="50"/>
  <c r="M271" i="50"/>
  <c r="L271" i="50"/>
  <c r="K271" i="50"/>
  <c r="J267" i="50"/>
  <c r="M267" i="50"/>
  <c r="L267" i="50"/>
  <c r="K267" i="50"/>
  <c r="H117" i="43"/>
  <c r="S54" i="43"/>
  <c r="M54" i="43" s="1"/>
  <c r="L54" i="43" s="1"/>
  <c r="K54" i="43" s="1"/>
  <c r="I183" i="43"/>
  <c r="I93" i="43"/>
  <c r="I156" i="43"/>
  <c r="H156" i="43"/>
  <c r="M45" i="43"/>
  <c r="L45" i="43" s="1"/>
  <c r="K45" i="43" s="1"/>
  <c r="H397" i="43"/>
  <c r="H175" i="43"/>
  <c r="I104" i="43"/>
  <c r="I81" i="43"/>
  <c r="I233" i="43"/>
  <c r="H233" i="43"/>
  <c r="H279" i="43"/>
  <c r="I279" i="43"/>
  <c r="I333" i="43"/>
  <c r="H333" i="43"/>
  <c r="I265" i="43"/>
  <c r="H265" i="43"/>
  <c r="I135" i="43"/>
  <c r="H135" i="43"/>
  <c r="H271" i="43"/>
  <c r="H102" i="43"/>
  <c r="I376" i="43"/>
  <c r="H346" i="43"/>
  <c r="I346" i="43"/>
  <c r="H332" i="43"/>
  <c r="I332" i="43"/>
  <c r="H91" i="43"/>
  <c r="I91" i="43"/>
  <c r="H137" i="43"/>
  <c r="I137" i="43"/>
  <c r="I109" i="43"/>
  <c r="H109" i="43"/>
  <c r="I289" i="43"/>
  <c r="H289" i="43"/>
  <c r="H106" i="43"/>
  <c r="I106" i="43"/>
  <c r="H254" i="43"/>
  <c r="I254" i="43"/>
  <c r="H266" i="43"/>
  <c r="I266" i="43"/>
  <c r="H148" i="43"/>
  <c r="I148" i="43"/>
  <c r="H100" i="43"/>
  <c r="I100" i="43"/>
  <c r="H405" i="43"/>
  <c r="I405" i="43"/>
  <c r="I407" i="43" s="1"/>
  <c r="I274" i="43"/>
  <c r="H274" i="43"/>
  <c r="H167" i="43"/>
  <c r="I167" i="43"/>
  <c r="H99" i="43"/>
  <c r="I99" i="43"/>
  <c r="H119" i="43"/>
  <c r="I119" i="43"/>
  <c r="H396" i="43"/>
  <c r="I396" i="43"/>
  <c r="S322" i="43"/>
  <c r="M322" i="43" s="1"/>
  <c r="L322" i="43" s="1"/>
  <c r="K322" i="43" s="1"/>
  <c r="H383" i="43"/>
  <c r="H280" i="43"/>
  <c r="I280" i="43"/>
  <c r="H260" i="43"/>
  <c r="I260" i="43"/>
  <c r="H226" i="43"/>
  <c r="I226" i="43"/>
  <c r="H199" i="43"/>
  <c r="I199" i="43"/>
  <c r="H162" i="43"/>
  <c r="I162" i="43"/>
  <c r="H124" i="43"/>
  <c r="I124" i="43"/>
  <c r="H158" i="43"/>
  <c r="I158" i="43"/>
  <c r="I251" i="43"/>
  <c r="H251" i="43"/>
  <c r="H133" i="43"/>
  <c r="I133" i="43"/>
  <c r="H376" i="43"/>
  <c r="E13" i="56" s="1"/>
  <c r="I321" i="43"/>
  <c r="H321" i="43"/>
  <c r="I383" i="43"/>
  <c r="I224" i="43"/>
  <c r="H224" i="43"/>
  <c r="I197" i="43"/>
  <c r="H197" i="43"/>
  <c r="I116" i="43"/>
  <c r="H116" i="43"/>
  <c r="I165" i="43"/>
  <c r="H165" i="43"/>
  <c r="H259" i="43"/>
  <c r="I259" i="43"/>
  <c r="H258" i="43"/>
  <c r="I258" i="43"/>
  <c r="H214" i="43"/>
  <c r="I214" i="43"/>
  <c r="H113" i="43"/>
  <c r="I113" i="43"/>
  <c r="I90" i="43"/>
  <c r="H90" i="43"/>
  <c r="H220" i="43"/>
  <c r="I220" i="43"/>
  <c r="S177" i="43"/>
  <c r="M177" i="43" s="1"/>
  <c r="L177" i="43" s="1"/>
  <c r="K177" i="43" s="1"/>
  <c r="H171" i="43"/>
  <c r="I171" i="43"/>
  <c r="I87" i="43"/>
  <c r="H87" i="43"/>
  <c r="S40" i="43"/>
  <c r="M40" i="43" s="1"/>
  <c r="L40" i="43" s="1"/>
  <c r="K40" i="43" s="1"/>
  <c r="I325" i="43"/>
  <c r="H325" i="43"/>
  <c r="I287" i="43"/>
  <c r="H287" i="43"/>
  <c r="H238" i="43"/>
  <c r="I238" i="43"/>
  <c r="H202" i="43"/>
  <c r="I202" i="43"/>
  <c r="H229" i="43"/>
  <c r="I229" i="43"/>
  <c r="I86" i="43"/>
  <c r="H86" i="43"/>
  <c r="I54" i="43"/>
  <c r="H54" i="43"/>
  <c r="H23" i="43"/>
  <c r="I23" i="43"/>
  <c r="I98" i="26"/>
  <c r="H98" i="26"/>
  <c r="I67" i="43"/>
  <c r="H67" i="43"/>
  <c r="H7" i="43"/>
  <c r="I7" i="43"/>
  <c r="H100" i="26"/>
  <c r="I100" i="26"/>
  <c r="I78" i="26"/>
  <c r="H78" i="26"/>
  <c r="I44" i="26"/>
  <c r="H44" i="26"/>
  <c r="Q48" i="43"/>
  <c r="S48" i="43" s="1"/>
  <c r="M48" i="43" s="1"/>
  <c r="L48" i="43" s="1"/>
  <c r="K48" i="43" s="1"/>
  <c r="H161" i="26"/>
  <c r="I303" i="26"/>
  <c r="H303" i="26"/>
  <c r="H294" i="26"/>
  <c r="I294" i="26"/>
  <c r="I273" i="43"/>
  <c r="H273" i="43"/>
  <c r="H170" i="26"/>
  <c r="I170" i="26"/>
  <c r="H324" i="26"/>
  <c r="I324" i="26"/>
  <c r="H162" i="26"/>
  <c r="I162" i="26"/>
  <c r="H130" i="26"/>
  <c r="H131" i="26" s="1"/>
  <c r="I130" i="26"/>
  <c r="I77" i="26"/>
  <c r="I101" i="26" s="1"/>
  <c r="H77" i="26"/>
  <c r="H101" i="26" s="1"/>
  <c r="E12" i="57" s="1"/>
  <c r="H259" i="26"/>
  <c r="I259" i="26"/>
  <c r="I123" i="26"/>
  <c r="H123" i="26"/>
  <c r="I270" i="43"/>
  <c r="H270" i="43"/>
  <c r="H157" i="26"/>
  <c r="I157" i="26"/>
  <c r="I19" i="43"/>
  <c r="H19" i="43"/>
  <c r="H80" i="26"/>
  <c r="I80" i="26"/>
  <c r="H328" i="26"/>
  <c r="I328" i="26"/>
  <c r="I176" i="26"/>
  <c r="H176" i="26"/>
  <c r="H27" i="43"/>
  <c r="I27" i="43"/>
  <c r="I212" i="26"/>
  <c r="H212" i="26"/>
  <c r="H246" i="26"/>
  <c r="I246" i="26"/>
  <c r="H201" i="26"/>
  <c r="I201" i="26"/>
  <c r="I15" i="43"/>
  <c r="H15" i="43"/>
  <c r="I309" i="26"/>
  <c r="H309" i="26"/>
  <c r="H233" i="26"/>
  <c r="I233" i="26"/>
  <c r="S12" i="43"/>
  <c r="M12" i="43" s="1"/>
  <c r="L12" i="43" s="1"/>
  <c r="K12" i="43" s="1"/>
  <c r="I12" i="43" s="1"/>
  <c r="S8" i="43"/>
  <c r="M8" i="43" s="1"/>
  <c r="L8" i="43" s="1"/>
  <c r="K8" i="43" s="1"/>
  <c r="H8" i="43" s="1"/>
  <c r="I164" i="26"/>
  <c r="H164" i="26"/>
  <c r="H53" i="26"/>
  <c r="I53" i="43"/>
  <c r="H53" i="43"/>
  <c r="H238" i="26"/>
  <c r="I238" i="26"/>
  <c r="S33" i="43"/>
  <c r="M33" i="43" s="1"/>
  <c r="L33" i="43" s="1"/>
  <c r="K33" i="43" s="1"/>
  <c r="H33" i="43" s="1"/>
  <c r="S9" i="43"/>
  <c r="M9" i="43" s="1"/>
  <c r="L9" i="43" s="1"/>
  <c r="K9" i="43" s="1"/>
  <c r="H9" i="43" s="1"/>
  <c r="Q51" i="43"/>
  <c r="S118" i="26"/>
  <c r="M118" i="26" s="1"/>
  <c r="L118" i="26" s="1"/>
  <c r="K118" i="26" s="1"/>
  <c r="I18" i="26"/>
  <c r="I326" i="26"/>
  <c r="H326" i="26"/>
  <c r="I325" i="26"/>
  <c r="H325" i="26"/>
  <c r="H307" i="26"/>
  <c r="I307" i="26"/>
  <c r="I279" i="26"/>
  <c r="H279" i="26"/>
  <c r="H198" i="26"/>
  <c r="I198" i="26"/>
  <c r="O50" i="43"/>
  <c r="Q117" i="26"/>
  <c r="S117" i="26" s="1"/>
  <c r="H154" i="26"/>
  <c r="I154" i="26"/>
  <c r="I322" i="26"/>
  <c r="H322" i="26"/>
  <c r="I270" i="26"/>
  <c r="H270" i="26"/>
  <c r="S31" i="43"/>
  <c r="M31" i="43" s="1"/>
  <c r="L31" i="43" s="1"/>
  <c r="K31" i="43" s="1"/>
  <c r="H230" i="26"/>
  <c r="H249" i="26" s="1"/>
  <c r="I230" i="26"/>
  <c r="H266" i="26"/>
  <c r="I266" i="26"/>
  <c r="H187" i="26"/>
  <c r="I187" i="26"/>
  <c r="M115" i="26"/>
  <c r="L115" i="26" s="1"/>
  <c r="K115" i="26" s="1"/>
  <c r="S11" i="43"/>
  <c r="M11" i="43" s="1"/>
  <c r="L11" i="43" s="1"/>
  <c r="K11" i="43" s="1"/>
  <c r="S6" i="43"/>
  <c r="M6" i="43" s="1"/>
  <c r="L6" i="43" s="1"/>
  <c r="K6" i="43" s="1"/>
  <c r="H6" i="43" s="1"/>
  <c r="H165" i="26"/>
  <c r="H224" i="26" s="1"/>
  <c r="I165" i="26"/>
  <c r="I153" i="26"/>
  <c r="H153" i="26"/>
  <c r="I18" i="43"/>
  <c r="H18" i="43"/>
  <c r="I17" i="43"/>
  <c r="H17" i="43"/>
  <c r="I28" i="43"/>
  <c r="H28" i="43"/>
  <c r="H12" i="43"/>
  <c r="I30" i="43"/>
  <c r="H30" i="43"/>
  <c r="I14" i="43"/>
  <c r="H14" i="43"/>
  <c r="I29" i="43"/>
  <c r="H29" i="43"/>
  <c r="I13" i="43"/>
  <c r="H13" i="43"/>
  <c r="I24" i="43"/>
  <c r="H24" i="43"/>
  <c r="I26" i="43"/>
  <c r="H26" i="43"/>
  <c r="I10" i="43"/>
  <c r="H10" i="43"/>
  <c r="I25" i="43"/>
  <c r="H25" i="43"/>
  <c r="I9" i="43"/>
  <c r="I20" i="43"/>
  <c r="H20" i="43"/>
  <c r="I22" i="43"/>
  <c r="H22" i="43"/>
  <c r="I21" i="43"/>
  <c r="H21" i="43"/>
  <c r="I32" i="43"/>
  <c r="H32" i="43"/>
  <c r="I16" i="43"/>
  <c r="H16" i="43"/>
  <c r="I72" i="26"/>
  <c r="H72" i="26"/>
  <c r="I54" i="26"/>
  <c r="H54" i="26"/>
  <c r="H55" i="26"/>
  <c r="I55" i="26"/>
  <c r="I68" i="26"/>
  <c r="H68" i="26"/>
  <c r="I67" i="26"/>
  <c r="H67" i="26"/>
  <c r="I61" i="26"/>
  <c r="H61" i="26"/>
  <c r="S58" i="26"/>
  <c r="M58" i="26" s="1"/>
  <c r="L58" i="26" s="1"/>
  <c r="K58" i="26" s="1"/>
  <c r="I9" i="26"/>
  <c r="H10" i="57" s="1"/>
  <c r="G10" i="57" s="1"/>
  <c r="I14" i="52"/>
  <c r="H6" i="57" s="1"/>
  <c r="D6" i="57"/>
  <c r="Q7" i="51"/>
  <c r="F24" i="51"/>
  <c r="H18" i="57" s="1"/>
  <c r="J383" i="50"/>
  <c r="M383" i="50"/>
  <c r="L383" i="50"/>
  <c r="K383" i="50"/>
  <c r="J387" i="50"/>
  <c r="M387" i="50"/>
  <c r="L387" i="50"/>
  <c r="K387" i="50"/>
  <c r="J379" i="50"/>
  <c r="M379" i="50"/>
  <c r="L379" i="50"/>
  <c r="K379" i="50"/>
  <c r="J391" i="50"/>
  <c r="M391" i="50"/>
  <c r="L391" i="50"/>
  <c r="K391" i="50"/>
  <c r="K388" i="50"/>
  <c r="J388" i="50"/>
  <c r="M388" i="50"/>
  <c r="L388" i="50"/>
  <c r="K380" i="50"/>
  <c r="J380" i="50"/>
  <c r="M380" i="50"/>
  <c r="L380" i="50"/>
  <c r="K384" i="50"/>
  <c r="J384" i="50"/>
  <c r="M384" i="50"/>
  <c r="L384" i="50"/>
  <c r="L131" i="50"/>
  <c r="K131" i="50"/>
  <c r="J131" i="50"/>
  <c r="M131" i="50"/>
  <c r="L126" i="50"/>
  <c r="K126" i="50"/>
  <c r="J126" i="50"/>
  <c r="M126" i="50"/>
  <c r="L97" i="50"/>
  <c r="K97" i="50"/>
  <c r="J97" i="50"/>
  <c r="M97" i="50"/>
  <c r="L372" i="50"/>
  <c r="K372" i="50"/>
  <c r="J372" i="50"/>
  <c r="M372" i="50"/>
  <c r="L105" i="50"/>
  <c r="K105" i="50"/>
  <c r="J105" i="50"/>
  <c r="M105" i="50"/>
  <c r="J374" i="50"/>
  <c r="M374" i="50"/>
  <c r="L374" i="50"/>
  <c r="K374" i="50"/>
  <c r="K375" i="50"/>
  <c r="J375" i="50"/>
  <c r="M375" i="50"/>
  <c r="L375" i="50"/>
  <c r="J113" i="50"/>
  <c r="M113" i="50"/>
  <c r="L113" i="50"/>
  <c r="K113" i="50"/>
  <c r="L111" i="50"/>
  <c r="K111" i="50"/>
  <c r="J111" i="50"/>
  <c r="M111" i="50"/>
  <c r="L101" i="50"/>
  <c r="K101" i="50"/>
  <c r="J101" i="50"/>
  <c r="M101" i="50"/>
  <c r="J109" i="50"/>
  <c r="M109" i="50"/>
  <c r="L109" i="50"/>
  <c r="K109" i="50"/>
  <c r="Q114" i="50"/>
  <c r="R114" i="50" s="1"/>
  <c r="R112" i="50"/>
  <c r="Q112" i="50"/>
  <c r="L104" i="50"/>
  <c r="K104" i="50"/>
  <c r="J104" i="50"/>
  <c r="M104" i="50"/>
  <c r="J108" i="50"/>
  <c r="M108" i="50"/>
  <c r="L108" i="50"/>
  <c r="K108" i="50"/>
  <c r="M373" i="50"/>
  <c r="L373" i="50"/>
  <c r="K373" i="50"/>
  <c r="J373" i="50"/>
  <c r="Q110" i="50"/>
  <c r="R110" i="50" s="1"/>
  <c r="L287" i="50"/>
  <c r="K287" i="50"/>
  <c r="J287" i="50"/>
  <c r="M287" i="50"/>
  <c r="J369" i="50"/>
  <c r="M369" i="50"/>
  <c r="L369" i="50"/>
  <c r="K369" i="50"/>
  <c r="L286" i="50"/>
  <c r="K286" i="50"/>
  <c r="J286" i="50"/>
  <c r="M286" i="50"/>
  <c r="J400" i="50"/>
  <c r="M400" i="50"/>
  <c r="L400" i="50"/>
  <c r="K400" i="50"/>
  <c r="L86" i="50"/>
  <c r="J86" i="50"/>
  <c r="M86" i="50"/>
  <c r="K86" i="50"/>
  <c r="K233" i="50"/>
  <c r="J233" i="50"/>
  <c r="M233" i="50"/>
  <c r="L233" i="50"/>
  <c r="L292" i="50"/>
  <c r="K292" i="50"/>
  <c r="J292" i="50"/>
  <c r="M292" i="50"/>
  <c r="K397" i="50"/>
  <c r="J397" i="50"/>
  <c r="M397" i="50"/>
  <c r="L397" i="50"/>
  <c r="L291" i="50"/>
  <c r="K291" i="50"/>
  <c r="J291" i="50"/>
  <c r="M291" i="50"/>
  <c r="R231" i="50"/>
  <c r="L71" i="50"/>
  <c r="M71" i="50"/>
  <c r="K71" i="50"/>
  <c r="J71" i="50"/>
  <c r="R232" i="50"/>
  <c r="L234" i="50"/>
  <c r="K234" i="50"/>
  <c r="J234" i="50"/>
  <c r="M234" i="50"/>
  <c r="K370" i="50"/>
  <c r="J370" i="50"/>
  <c r="M370" i="50"/>
  <c r="L370" i="50"/>
  <c r="L294" i="50"/>
  <c r="K294" i="50"/>
  <c r="J294" i="50"/>
  <c r="M294" i="50"/>
  <c r="L290" i="50"/>
  <c r="K290" i="50"/>
  <c r="J290" i="50"/>
  <c r="M290" i="50"/>
  <c r="L295" i="50"/>
  <c r="K295" i="50"/>
  <c r="J295" i="50"/>
  <c r="M295" i="50"/>
  <c r="L70" i="50"/>
  <c r="K70" i="50"/>
  <c r="J70" i="50"/>
  <c r="M70" i="50"/>
  <c r="Q404" i="50"/>
  <c r="R404" i="50" s="1"/>
  <c r="K401" i="50"/>
  <c r="J401" i="50"/>
  <c r="M401" i="50"/>
  <c r="L401" i="50"/>
  <c r="L293" i="50"/>
  <c r="K293" i="50"/>
  <c r="J293" i="50"/>
  <c r="M293" i="50"/>
  <c r="L235" i="50"/>
  <c r="K235" i="50"/>
  <c r="J235" i="50"/>
  <c r="M235" i="50"/>
  <c r="Q403" i="50"/>
  <c r="R403" i="50" s="1"/>
  <c r="K69" i="50"/>
  <c r="J69" i="50"/>
  <c r="M69" i="50"/>
  <c r="L69" i="50"/>
  <c r="K229" i="50"/>
  <c r="J229" i="50"/>
  <c r="M229" i="50"/>
  <c r="L229" i="50"/>
  <c r="K366" i="50"/>
  <c r="J366" i="50"/>
  <c r="M366" i="50"/>
  <c r="L366" i="50"/>
  <c r="J365" i="50"/>
  <c r="M365" i="50"/>
  <c r="L365" i="50"/>
  <c r="K365" i="50"/>
  <c r="Q288" i="50"/>
  <c r="R288" i="50" s="1"/>
  <c r="K68" i="50"/>
  <c r="J68" i="50"/>
  <c r="M68" i="50"/>
  <c r="L68" i="50"/>
  <c r="K227" i="50"/>
  <c r="J227" i="50"/>
  <c r="M227" i="50"/>
  <c r="L227" i="50"/>
  <c r="Q289" i="50"/>
  <c r="R289" i="50" s="1"/>
  <c r="L358" i="50"/>
  <c r="K358" i="50"/>
  <c r="J358" i="50"/>
  <c r="M358" i="50"/>
  <c r="M359" i="50"/>
  <c r="L359" i="50"/>
  <c r="K359" i="50"/>
  <c r="J359" i="50"/>
  <c r="L60" i="50"/>
  <c r="K60" i="50"/>
  <c r="J60" i="50"/>
  <c r="M60" i="50"/>
  <c r="Q362" i="50"/>
  <c r="R362" i="50" s="1"/>
  <c r="Q361" i="50"/>
  <c r="R361" i="50" s="1"/>
  <c r="J301" i="50"/>
  <c r="M301" i="50"/>
  <c r="L301" i="50"/>
  <c r="K301" i="50"/>
  <c r="J297" i="50"/>
  <c r="M297" i="50"/>
  <c r="L297" i="50"/>
  <c r="K297" i="50"/>
  <c r="J300" i="50"/>
  <c r="M300" i="50"/>
  <c r="L300" i="50"/>
  <c r="K300" i="50"/>
  <c r="J299" i="50"/>
  <c r="M299" i="50"/>
  <c r="L299" i="50"/>
  <c r="K299" i="50"/>
  <c r="L44" i="50"/>
  <c r="K44" i="50"/>
  <c r="J44" i="50"/>
  <c r="M44" i="50"/>
  <c r="M352" i="50"/>
  <c r="L352" i="50"/>
  <c r="K352" i="50"/>
  <c r="J352" i="50"/>
  <c r="J298" i="50"/>
  <c r="M298" i="50"/>
  <c r="L298" i="50"/>
  <c r="K298" i="50"/>
  <c r="M344" i="50"/>
  <c r="L344" i="50"/>
  <c r="K344" i="50"/>
  <c r="J344" i="50"/>
  <c r="M350" i="50"/>
  <c r="L350" i="50"/>
  <c r="K350" i="50"/>
  <c r="J350" i="50"/>
  <c r="M349" i="50"/>
  <c r="L349" i="50"/>
  <c r="K349" i="50"/>
  <c r="J349" i="50"/>
  <c r="M348" i="50"/>
  <c r="L348" i="50"/>
  <c r="K348" i="50"/>
  <c r="J348" i="50"/>
  <c r="M347" i="50"/>
  <c r="L347" i="50"/>
  <c r="K347" i="50"/>
  <c r="J347" i="50"/>
  <c r="M346" i="50"/>
  <c r="L346" i="50"/>
  <c r="K346" i="50"/>
  <c r="J346" i="50"/>
  <c r="M345" i="50"/>
  <c r="L345" i="50"/>
  <c r="K345" i="50"/>
  <c r="J345" i="50"/>
  <c r="M343" i="50"/>
  <c r="L343" i="50"/>
  <c r="K343" i="50"/>
  <c r="J343" i="50"/>
  <c r="M351" i="50"/>
  <c r="L351" i="50"/>
  <c r="K351" i="50"/>
  <c r="J351" i="50"/>
  <c r="M323" i="50"/>
  <c r="L323" i="50"/>
  <c r="K323" i="50"/>
  <c r="J323" i="50"/>
  <c r="L322" i="50"/>
  <c r="K322" i="50"/>
  <c r="J322" i="50"/>
  <c r="M322" i="50"/>
  <c r="H47" i="43"/>
  <c r="I47" i="43"/>
  <c r="I110" i="26"/>
  <c r="H110" i="26"/>
  <c r="I106" i="26"/>
  <c r="H106" i="26"/>
  <c r="I52" i="43"/>
  <c r="H52" i="43"/>
  <c r="I108" i="26"/>
  <c r="H108" i="26"/>
  <c r="I44" i="43"/>
  <c r="H44" i="43"/>
  <c r="I41" i="43"/>
  <c r="H41" i="43"/>
  <c r="I64" i="43"/>
  <c r="H64" i="43"/>
  <c r="H70" i="43"/>
  <c r="I70" i="43"/>
  <c r="I37" i="43"/>
  <c r="H37" i="43"/>
  <c r="I112" i="26"/>
  <c r="H112" i="26"/>
  <c r="S49" i="43"/>
  <c r="M49" i="43" s="1"/>
  <c r="L49" i="43" s="1"/>
  <c r="K49" i="43" s="1"/>
  <c r="I103" i="26"/>
  <c r="H103" i="26"/>
  <c r="I46" i="43"/>
  <c r="H46" i="43"/>
  <c r="I45" i="43"/>
  <c r="H45" i="43"/>
  <c r="H118" i="26"/>
  <c r="I118" i="26"/>
  <c r="H66" i="43"/>
  <c r="I66" i="43"/>
  <c r="I68" i="43"/>
  <c r="H68" i="43"/>
  <c r="I63" i="43"/>
  <c r="H63" i="43"/>
  <c r="I111" i="26"/>
  <c r="H111" i="26"/>
  <c r="M43" i="43"/>
  <c r="L43" i="43" s="1"/>
  <c r="K43" i="43" s="1"/>
  <c r="S39" i="43"/>
  <c r="M39" i="43" s="1"/>
  <c r="L39" i="43" s="1"/>
  <c r="K39" i="43" s="1"/>
  <c r="I109" i="26"/>
  <c r="H109" i="26"/>
  <c r="I36" i="43"/>
  <c r="H36" i="43"/>
  <c r="I38" i="43"/>
  <c r="H38" i="43"/>
  <c r="S42" i="43"/>
  <c r="M42" i="43" s="1"/>
  <c r="L42" i="43" s="1"/>
  <c r="K42" i="43" s="1"/>
  <c r="I105" i="26"/>
  <c r="H105" i="26"/>
  <c r="H62" i="43"/>
  <c r="I62" i="43"/>
  <c r="H113" i="26"/>
  <c r="I113" i="26"/>
  <c r="I107" i="26"/>
  <c r="H107" i="26"/>
  <c r="I104" i="26"/>
  <c r="H104" i="26"/>
  <c r="J12" i="31"/>
  <c r="I12" i="31"/>
  <c r="J20" i="31"/>
  <c r="I20" i="31"/>
  <c r="J14" i="31"/>
  <c r="I14" i="31"/>
  <c r="J21" i="31"/>
  <c r="I21" i="31"/>
  <c r="J11" i="31"/>
  <c r="I11" i="31"/>
  <c r="E7" i="57" s="1"/>
  <c r="J22" i="31"/>
  <c r="I22" i="31"/>
  <c r="J13" i="31"/>
  <c r="I13" i="31"/>
  <c r="H331" i="26" l="1"/>
  <c r="I6" i="43"/>
  <c r="E16" i="56"/>
  <c r="D16" i="56" s="1"/>
  <c r="G16" i="56"/>
  <c r="E18" i="57"/>
  <c r="D18" i="57" s="1"/>
  <c r="G18" i="57"/>
  <c r="G6" i="57"/>
  <c r="H407" i="43"/>
  <c r="E14" i="56" s="1"/>
  <c r="D14" i="56" s="1"/>
  <c r="H13" i="56"/>
  <c r="G13" i="56" s="1"/>
  <c r="H14" i="56"/>
  <c r="G14" i="56" s="1"/>
  <c r="I143" i="43"/>
  <c r="H12" i="56" s="1"/>
  <c r="G12" i="56" s="1"/>
  <c r="H143" i="43"/>
  <c r="E12" i="56" s="1"/>
  <c r="H40" i="43"/>
  <c r="I40" i="43"/>
  <c r="I177" i="43"/>
  <c r="I261" i="43" s="1"/>
  <c r="H11" i="56" s="1"/>
  <c r="G11" i="56" s="1"/>
  <c r="H177" i="43"/>
  <c r="H261" i="43" s="1"/>
  <c r="E11" i="56" s="1"/>
  <c r="H322" i="43"/>
  <c r="H336" i="43" s="1"/>
  <c r="I322" i="43"/>
  <c r="I336" i="43" s="1"/>
  <c r="I8" i="43"/>
  <c r="I33" i="43"/>
  <c r="D13" i="56"/>
  <c r="J26" i="31"/>
  <c r="H7" i="57" s="1"/>
  <c r="F7" i="57" s="1"/>
  <c r="H285" i="26"/>
  <c r="I249" i="26"/>
  <c r="I224" i="26"/>
  <c r="E13" i="57"/>
  <c r="H11" i="43"/>
  <c r="I11" i="43"/>
  <c r="I31" i="43"/>
  <c r="H31" i="43"/>
  <c r="H115" i="26"/>
  <c r="I115" i="26"/>
  <c r="M117" i="26"/>
  <c r="L117" i="26" s="1"/>
  <c r="K117" i="26" s="1"/>
  <c r="Q50" i="43"/>
  <c r="S50" i="43" s="1"/>
  <c r="M50" i="43" s="1"/>
  <c r="L50" i="43" s="1"/>
  <c r="K50" i="43" s="1"/>
  <c r="S51" i="43"/>
  <c r="M51" i="43" s="1"/>
  <c r="L51" i="43" s="1"/>
  <c r="K51" i="43" s="1"/>
  <c r="I285" i="26"/>
  <c r="H12" i="57"/>
  <c r="G12" i="57" s="1"/>
  <c r="H58" i="26"/>
  <c r="E16" i="57" s="1"/>
  <c r="D16" i="57" s="1"/>
  <c r="I58" i="26"/>
  <c r="I75" i="26" s="1"/>
  <c r="H16" i="57" s="1"/>
  <c r="G16" i="57" s="1"/>
  <c r="E10" i="57"/>
  <c r="F10" i="57" s="1"/>
  <c r="F6" i="57"/>
  <c r="Q24" i="51"/>
  <c r="K8" i="55" s="1"/>
  <c r="R7" i="51"/>
  <c r="R24" i="51" s="1"/>
  <c r="J8" i="55" s="1"/>
  <c r="G8" i="55" s="1"/>
  <c r="K110" i="50"/>
  <c r="J110" i="50"/>
  <c r="M110" i="50"/>
  <c r="L110" i="50"/>
  <c r="K114" i="50"/>
  <c r="J114" i="50"/>
  <c r="M114" i="50"/>
  <c r="L114" i="50"/>
  <c r="M112" i="50"/>
  <c r="L112" i="50"/>
  <c r="K112" i="50"/>
  <c r="J112" i="50"/>
  <c r="L288" i="50"/>
  <c r="K288" i="50"/>
  <c r="J288" i="50"/>
  <c r="M288" i="50"/>
  <c r="L289" i="50"/>
  <c r="K289" i="50"/>
  <c r="J289" i="50"/>
  <c r="M289" i="50"/>
  <c r="M403" i="50"/>
  <c r="L403" i="50"/>
  <c r="K403" i="50"/>
  <c r="J403" i="50"/>
  <c r="K231" i="50"/>
  <c r="J231" i="50"/>
  <c r="M231" i="50"/>
  <c r="L231" i="50"/>
  <c r="J404" i="50"/>
  <c r="M404" i="50"/>
  <c r="L404" i="50"/>
  <c r="K404" i="50"/>
  <c r="K232" i="50"/>
  <c r="J232" i="50"/>
  <c r="M232" i="50"/>
  <c r="L232" i="50"/>
  <c r="M362" i="50"/>
  <c r="L362" i="50"/>
  <c r="K362" i="50"/>
  <c r="J362" i="50"/>
  <c r="L361" i="50"/>
  <c r="K361" i="50"/>
  <c r="J361" i="50"/>
  <c r="M361" i="50"/>
  <c r="I48" i="43"/>
  <c r="H48" i="43"/>
  <c r="I49" i="43"/>
  <c r="H49" i="43"/>
  <c r="D12" i="57"/>
  <c r="H43" i="43"/>
  <c r="I43" i="43"/>
  <c r="I42" i="43"/>
  <c r="H42" i="43"/>
  <c r="H39" i="43"/>
  <c r="I39" i="43"/>
  <c r="D7" i="57"/>
  <c r="H8" i="55" l="1"/>
  <c r="H10" i="55" s="1"/>
  <c r="G10" i="55" s="1"/>
  <c r="K10" i="55"/>
  <c r="J10" i="55" s="1"/>
  <c r="F13" i="56"/>
  <c r="J407" i="50"/>
  <c r="E15" i="56" s="1"/>
  <c r="D15" i="56" s="1"/>
  <c r="F14" i="56"/>
  <c r="F12" i="56"/>
  <c r="D12" i="56"/>
  <c r="F11" i="56"/>
  <c r="D11" i="56"/>
  <c r="I34" i="43"/>
  <c r="H10" i="56" s="1"/>
  <c r="G10" i="56" s="1"/>
  <c r="H34" i="43"/>
  <c r="E10" i="56" s="1"/>
  <c r="D10" i="56" s="1"/>
  <c r="G7" i="57"/>
  <c r="H13" i="57"/>
  <c r="G13" i="57" s="1"/>
  <c r="F12" i="57"/>
  <c r="D13" i="57"/>
  <c r="H117" i="26"/>
  <c r="I117" i="26"/>
  <c r="I131" i="26" s="1"/>
  <c r="I331" i="26" s="1"/>
  <c r="H50" i="43"/>
  <c r="I50" i="43"/>
  <c r="I51" i="43"/>
  <c r="H51" i="43"/>
  <c r="F16" i="57"/>
  <c r="D10" i="57"/>
  <c r="M407" i="50"/>
  <c r="H17" i="57" s="1"/>
  <c r="G17" i="57" s="1"/>
  <c r="K407" i="50"/>
  <c r="H15" i="56" s="1"/>
  <c r="G15" i="56" s="1"/>
  <c r="L407" i="50"/>
  <c r="E17" i="57" s="1"/>
  <c r="H11" i="57"/>
  <c r="E11" i="57"/>
  <c r="H72" i="43" l="1"/>
  <c r="E9" i="56" s="1"/>
  <c r="E7" i="56" s="1"/>
  <c r="F10" i="56"/>
  <c r="I72" i="43"/>
  <c r="H9" i="56" s="1"/>
  <c r="F13" i="57"/>
  <c r="F15" i="56"/>
  <c r="D17" i="57"/>
  <c r="F17" i="57"/>
  <c r="D11" i="57"/>
  <c r="F11" i="57"/>
  <c r="E9" i="57"/>
  <c r="G11" i="57"/>
  <c r="H9" i="57"/>
  <c r="H408" i="43" l="1"/>
  <c r="F9" i="56"/>
  <c r="H7" i="56"/>
  <c r="G7" i="56" s="1"/>
  <c r="G9" i="56"/>
  <c r="I408" i="43"/>
  <c r="D9" i="56"/>
  <c r="G9" i="57"/>
  <c r="H8" i="57"/>
  <c r="K6" i="55" s="1"/>
  <c r="E8" i="57"/>
  <c r="H6" i="55" s="1"/>
  <c r="F9" i="57"/>
  <c r="D9" i="57"/>
  <c r="D7" i="56"/>
  <c r="E6" i="56"/>
  <c r="H5" i="55" s="1"/>
  <c r="H7" i="55" s="1"/>
  <c r="E17" i="56" l="1"/>
  <c r="F7" i="56"/>
  <c r="H6" i="56"/>
  <c r="G8" i="57"/>
  <c r="H19" i="57"/>
  <c r="F8" i="57"/>
  <c r="D8" i="57"/>
  <c r="E19" i="57"/>
  <c r="D19" i="57" s="1"/>
  <c r="D6" i="56"/>
  <c r="F19" i="57" l="1"/>
  <c r="G6" i="56"/>
  <c r="K5" i="55"/>
  <c r="H17" i="56"/>
  <c r="F17" i="56" s="1"/>
  <c r="E18" i="56"/>
  <c r="F6" i="56"/>
  <c r="D17" i="56"/>
  <c r="J6" i="55"/>
  <c r="H20" i="57"/>
  <c r="G19" i="57"/>
  <c r="G6" i="55"/>
  <c r="E20" i="57"/>
  <c r="K7" i="55" l="1"/>
  <c r="G17" i="56"/>
  <c r="H18" i="56"/>
  <c r="J5" i="55"/>
  <c r="I6" i="55"/>
  <c r="G5" i="55"/>
  <c r="G7" i="55" l="1"/>
  <c r="H11" i="55"/>
  <c r="G11" i="55" s="1"/>
  <c r="J7" i="55"/>
  <c r="K11" i="55"/>
  <c r="J11" i="55" s="1"/>
  <c r="I5" i="55"/>
  <c r="I11" i="55" l="1"/>
  <c r="C9" i="53"/>
  <c r="C11" i="53" s="1"/>
  <c r="I7" i="55"/>
</calcChain>
</file>

<file path=xl/sharedStrings.xml><?xml version="1.0" encoding="utf-8"?>
<sst xmlns="http://schemas.openxmlformats.org/spreadsheetml/2006/main" count="6510" uniqueCount="2144">
  <si>
    <t>重庆申佳地产【天馥城四期土建及普通水电安装】工程施工总承包工程经济标</t>
  </si>
  <si>
    <t>建设单位:</t>
  </si>
  <si>
    <t>工程名称:</t>
  </si>
  <si>
    <t>投标总价：</t>
  </si>
  <si>
    <t>(小写):</t>
  </si>
  <si>
    <t>(大写):</t>
  </si>
  <si>
    <t>投 标 时 间:</t>
  </si>
  <si>
    <t>填报指引/说明</t>
  </si>
  <si>
    <t xml:space="preserve"> 项目名称：重庆申佳地产【天馥城四期土建及普通水电安装】工程施工总承包工程经济标</t>
  </si>
  <si>
    <t>序号</t>
  </si>
  <si>
    <t>指引内容</t>
  </si>
  <si>
    <t>备注</t>
  </si>
  <si>
    <t>措施费没有基准清单，请投标单位在措施费清单按面积包干价报价，措施费为总价包干，后期不做任何调整</t>
  </si>
  <si>
    <t>其余未尽事宜详招标文件及基准清单。</t>
  </si>
  <si>
    <t>投标总价汇总表</t>
  </si>
  <si>
    <t>项目名称：重庆申佳地产【天馥城四期土建及普通水电安装】工程施工总承包工程经济标</t>
  </si>
  <si>
    <t>业态</t>
  </si>
  <si>
    <t>执行清单</t>
  </si>
  <si>
    <t>暂定建筑面积
(㎡）①</t>
  </si>
  <si>
    <t>基准价</t>
  </si>
  <si>
    <t>本次投标报价</t>
  </si>
  <si>
    <t>含税单方造价
（②=③/①）或含税综合单价(元/m2）</t>
  </si>
  <si>
    <t xml:space="preserve">合  价                         （元）③
</t>
  </si>
  <si>
    <t>含税单方造价(元/㎡）(1)=(2)/①</t>
  </si>
  <si>
    <t>合价(元)(2)</t>
  </si>
  <si>
    <t>高层（18F＜层数F≤38F）</t>
  </si>
  <si>
    <t>高层清单</t>
  </si>
  <si>
    <t>车库</t>
  </si>
  <si>
    <t>车库清单</t>
  </si>
  <si>
    <t>措施费</t>
  </si>
  <si>
    <t>措施费清单</t>
  </si>
  <si>
    <t>/</t>
  </si>
  <si>
    <t>按建筑面积综合单价包干，投标单位报价，不参与上下浮</t>
  </si>
  <si>
    <t>投标单位补充清单</t>
  </si>
  <si>
    <t>补充清单</t>
  </si>
  <si>
    <t>合计</t>
  </si>
  <si>
    <t>单位工程造价汇总表（高层）</t>
  </si>
  <si>
    <t>单位工程</t>
  </si>
  <si>
    <t>暂定建筑面积(㎡）
(1)</t>
  </si>
  <si>
    <t>投标报价</t>
  </si>
  <si>
    <t>单方造价
(元/m2)
(2)=（3）/（1）</t>
  </si>
  <si>
    <t>合价（元）
(3)</t>
  </si>
  <si>
    <t>洋房</t>
  </si>
  <si>
    <t>单价造价(元/m2)</t>
  </si>
  <si>
    <t>合价（元）</t>
  </si>
  <si>
    <t>一</t>
  </si>
  <si>
    <t>分部分项工程费</t>
  </si>
  <si>
    <t>(一)</t>
  </si>
  <si>
    <t>土建工程分部小计</t>
  </si>
  <si>
    <t>基础工程</t>
  </si>
  <si>
    <t>统计在“车库汇总表”里</t>
  </si>
  <si>
    <t>主体结构工程</t>
  </si>
  <si>
    <t>砌体及内抹灰</t>
  </si>
  <si>
    <t>楼地面工程</t>
  </si>
  <si>
    <t>屋面工程</t>
  </si>
  <si>
    <t>外墙装修工程(包含抹灰、保温、涂料及其它）</t>
  </si>
  <si>
    <t>其他建筑工程(烟道、孔洞、踢脚、天棚及其它）</t>
  </si>
  <si>
    <t>(二)</t>
  </si>
  <si>
    <t>安装工程分部小计</t>
  </si>
  <si>
    <t>二</t>
  </si>
  <si>
    <t>措施费由投标单位报价，不上下浮</t>
  </si>
  <si>
    <t>三</t>
  </si>
  <si>
    <t>总计=（一+二）</t>
  </si>
  <si>
    <t>其中包含增值税专票税金（税率9%）</t>
  </si>
  <si>
    <t>单位工程造价汇总表（车库）</t>
  </si>
  <si>
    <t>土石方工程</t>
  </si>
  <si>
    <t>大开挖土石方、基础土石方汇总</t>
  </si>
  <si>
    <t>桩基工程</t>
  </si>
  <si>
    <t>高层及车库桩基汇总</t>
  </si>
  <si>
    <t>桩基以外基础工程，包含地梁、承台、换填</t>
  </si>
  <si>
    <t>车库顶板防水找坡等包含在楼地面工程</t>
  </si>
  <si>
    <t>外墙装修工程</t>
  </si>
  <si>
    <t>外墙防水保护层包含在楼地面工程</t>
  </si>
  <si>
    <t>其他建筑工程</t>
  </si>
  <si>
    <t>四</t>
  </si>
  <si>
    <t>措施项目费</t>
  </si>
  <si>
    <t>五</t>
  </si>
  <si>
    <t>总计=（一+二+三+四）</t>
  </si>
  <si>
    <t>大总包工程土建部分招标清单编制说明</t>
  </si>
  <si>
    <t>（一）编制说明</t>
  </si>
  <si>
    <t>1、本次招标为综合单价包干（含税），综合单价是指该单位实施该部分分项分布工程及缺陷修复所发生的所有费用，包括但不限于设计优化费、施工图报审费、材料费（含辅材及损耗）、人工费、机械费、运输费（含上下车及二次转运）、成品保护费、技术措施费、组织措施费、不同层高及不同洞口尺寸引起的二次拆装费、预留预埋材料费、检测费、综合管理费、水电费、赶工补偿费、相关检测机关检测验收费、利润、税金以及相关所有费用、风险及责任等。</t>
  </si>
  <si>
    <t>2、大总包清单包括桩基降水、地下室土建、独立商业土建、别墅土建、高层（平层）18层及以下土建、高层（平层）18层以上土建、高层（跃层）18层及以下土建、高层（跃层）18层以上土建、水电安装、措施费清单等。其中别墅土建清单适用于双拼、联排、叠拼、独栋、合院住宅业态，别墅如自带地下室未与大地下室合并，清单项目单价以对应业态清单单价为准,别墅业态没有的地下室清单项目执行地下室业态清单项目单价；洋房土建清单适用于8F及以下洋房住宅业态（除别墅外），洋房如自带地下室未与大地下室合并，清单项目单价以对应业态清单单价为准,洋房业态没有的地下室清单项目执行地下室业态清单项目单价。幼儿园、小学按高层（平层）18层及以下业态计价。</t>
  </si>
  <si>
    <t xml:space="preserve">3、桩基工程包含水电费；柴油发电机租赁及使用费；钻孔的引孔；探桩及护筒；桩定位；短桩补桩费；施工时为满足机械进出场及施工要求采用的场地、便道铺垫各种砂石、级配土、铺设钢轨（钢板）、砼、桩定位井圈（或为安全做的井圈）等发生的费用；周边管线及邻近建筑物的保护措施费用；地下障碍物的拆除破碎、清理，风险费；完成本工程所发生的管理费、利润、税金等一切费用。压桩时采用的场地铺垫各种砂石、级配土、铺设钢轨（钢板）、砼等发生的费用均包含在报价内，桩本身质量检测或实验包含在综合单价中。大型桩工机械进出场费考虑到措施费里。试验工程桩桩头保护措施，综合考虑在报价中。                                                                                                                                                                                                                                                                                                                                                                                                                          </t>
  </si>
  <si>
    <t>4、所有钢筋综合单价中包括制作安装（含损耗）所有费用，数量按图纸及相关规范计算，钢筋长度按中心线计，包括但不限于箍筋、负筋的根数按“四舍五入+1”计。钢筋计算方法：水平钢筋：钢筋直径≥18，采用机械连接，其余采用绑扎；竖向钢筋：钢筋直径≥22，采用机械连接，22＞钢筋直径≥12采用电渣压力焊，直径12以下采用绑扎。</t>
  </si>
  <si>
    <t>5、模板工程：A：清单项分楼梯模摊费和除楼梯外模摊费两项，其中除楼梯外模摊费清单项不分构件类别（梁、板、墙、柱、基础、人工挖孔桩护壁、零星构件等），为综合包干单价，并已综合考虑模板支撑超高及构件异形模板的费用，包干单价不做调整。
B：双跑楼梯模板以梯段间水平投影面积计算（包括踏步、休息平台、锁口梁），扣除大于500mm的楼梯井宽。楼梯与楼层相连接时，算至最后一个踏步外边缘加300mm为界。剪刀梯模板以梯段间水平投影面积计算，不计休息平台，楼梯与楼层相连接时，算至最后一个踏步外边缘加300mm为界。所有楼梯的踏步、踏步板平台梁等侧面模板，均不另计算。</t>
  </si>
  <si>
    <t>8、水电安装清单综合单价由主材费和施工费构成。 
A、电气以电户箱为界限（住宅、商业、物管）；给水以水表为界限（住宅、商业、物管），之前归为公共部分安装（除供电局完成范围外的消防与主体水电安装共用桥架由总包负责完成），之后进入户内部分。排水部分除压力排水管外其他排水管归口“户内部分”清单。
B、多媒体箱指三网合一多媒体箱，包含底箱、面板、插线板以及光纤盘线等安装附件。
C、变电所配电柜至非居民用电配电箱及楼栋电表箱PE干线为镀锌扁钢。
D、弱电地下室或各楼栋到总平第一个检查井进入本次清单范围的强电“其他”中。
E、潜水泵中含液位仪的采购安装及调试。
F、污废水排水立管的出户管需穿外墙处当施工图中未设置穿墙刚性防水钢套管时均增设穿墙刚性防水钢套管。
G、所有管道均包含压槽费用。
H、给排水管出户计算范围以建筑物外墙面1.5米为界；超过1.5米部分根据后期总平井位置按实收方。
I、所有防水套管、人防密闭套管单独列项。其余楼层穿墙、穿楼板套管计入各分部分项清单综合单价。
J、工程量计算规则按2013年《建设工程工程量清单计价规范GB50500》执行。</t>
  </si>
  <si>
    <t>9、栏杆百叶清单（本次招标不含栏杆百叶）
A、招标为综合单价包干（含税），综合单价是指该单位实施该部分分项分布工程及缺陷修复所发生的所有费用，包括但不限于设计优化费、施工图报审费、材料费（含辅材及损耗）、人工费、机械费、运输费（含上下车及二次转运）、成平保护费、技术措施费、预留预埋材料费、检测费、综合管理费、水电费、赶工补偿费、相关检测机关检测验收费、利润、税金以及相关所有费用、风险及责任等。
B、工程量计算规则：栏杆工程，按栏杆扶手中心线长度计算；百叶工程按窗外围尺寸进行计算。
C、报价综合考虑防雷相关预留所涉及的费用。</t>
  </si>
  <si>
    <t>10、措施费清单分为车库和高层按清单分别报价，措施费计算中，其建筑面积计算:按《建筑工程建筑面积计算规范 》(GBT50353-2013)计算规则计算。另特别约定：凡是施工图纸标注为阳台、敞廊、走廊的部位均计算半面积，凡图纸标注为设备阳台的部位均不计算建筑面积（不论设备阳台是否与室内连通）、外墙外保温均不计算建筑面积。以承包范内的施工图作为面积计算依据，地下室主体完成后材料转运综合考虑在措施费中，不再单独另计地下室顶板加固相关费用。竣工铭牌和投诉牌，需要政府相关要求制安费用均不再单独计算费用。</t>
  </si>
  <si>
    <t>11、散水、排水沟由土建总包单位实施，公共区域二装工程地面找平层由二装单位实施，墙面抹灰由总包实施。</t>
  </si>
  <si>
    <t>13、商业楼梯滑动支座费用综合考虑到楼梯砼费用中。</t>
  </si>
  <si>
    <t>14、烟道表面处理方式需满足甲方要求及验收需要，投标单位综合考虑，不再单独计价。</t>
  </si>
  <si>
    <t>15、其他说明：</t>
  </si>
  <si>
    <t>A、请各投标单位认真核实招标的相关资料，投标单位明确已经认真阅读并充分理解该项目的招标资料及技术要求以及该项目的实际等情况。</t>
  </si>
  <si>
    <t>B、投标单位均根据项目的业态综合报价，结算时不得调整单价。</t>
  </si>
  <si>
    <t>C、施工单位应综合考虑外墙面砖的规格和排版等因素，一经中标，综合单价不作任何调整，为结算包干单价。</t>
  </si>
  <si>
    <t>D、场内施工围墙搭拆及管理、施工单位所需使用施工道路的修建、拆除产生的所有费用已包含在本次措施费用报价中；</t>
  </si>
  <si>
    <t>E、本工程基坑内明排水由总包单位自行负责实施（包括排水沟施工），场地内排洪及排洪措施由总包单位于进场之日开始实施</t>
  </si>
  <si>
    <t>F、城建税及教育附加等税负在报价清单的管理费中综合考虑</t>
  </si>
  <si>
    <t>G、门窗工程使用固定片或预制混凝土块、栏杆工程预埋件位置使用的预制混凝土块、预留孔洞用细石砼填实、外立面孔洞采用的预制件（含套管）、砌体钢筋加固包含在综合单价中，不再单独计算。</t>
  </si>
  <si>
    <t>H、本项目墙面抹灰基层清理及刷素水泥浆包括在墙面相应的抹灰清单中，结算时不作调整。</t>
  </si>
  <si>
    <t>（二）其它需要说明的问题</t>
  </si>
  <si>
    <t>1、在混凝土浇筑时，在合同约定工期范围内的抢工和正常的施工时泵送方式综合考虑，不单独记取车泵费，如特殊原因需另计必须经甲方、监理、成本确认使用范围并发放任务通知单，其单价按实核定。</t>
  </si>
  <si>
    <t>2、投标单位需无条件配合甲方办理施工许可证，相应费用含在综合单价中、如因甲方经营需求办理多标段施工许可证，则相应费用不予增加。</t>
  </si>
  <si>
    <t>3、承包范围详招标文件和招标技术要求。</t>
  </si>
  <si>
    <t>4、涉及坡屋面，请投标单位综合考虑施工的难度及砼、模板的损耗，一经中标，综合单价不作任何调整，为结算包干单价。</t>
  </si>
  <si>
    <t>5、工作范围请投标单位仔细核实：土建总包工程招标技术要求和该项目土建总包工程招标精装修移交要求，综合考虑报价；</t>
  </si>
  <si>
    <t>6、土建总包单位应在30日内完成作业面移交问题整改，否则建设单位有权安排第三方单位完成整改工作，所产生的费用全部由土建总包单位承担。</t>
  </si>
  <si>
    <t xml:space="preserve">7、土建总包单位为项目报建、备案（包括分包单位）、验收以及工程资料归档管理责任主体，有义务无条件配合甲方，其涉及费用综合考虑到报价中，过程中不再收取甲方及分包单位费用； </t>
  </si>
  <si>
    <t>8、工程质量应依据国家相关验收规范验收合格，并达到下道工序装修要求，对不合格部位应负有整改责任，整改费用自理。</t>
  </si>
  <si>
    <t>9、项目特征、工作内容及工艺相同的清单项若出现价格不一致情况，按最低价格执行。</t>
  </si>
  <si>
    <t xml:space="preserve">10、土建总包单位有责任为其他分包单位供临水临电设备接口，在项目正式用电启用前确保临电设施正常使用，所产生费用计入总包配合费，不再另行收取。 </t>
  </si>
  <si>
    <t>11、地库（含人防）部分若采用抗浮锚杆，由此导致的基层土方、捡底等工作内容困难度增加，投标单位应综合考虑，不再另外增加费用。</t>
  </si>
  <si>
    <t>12、后浇带，包括后浇带界面处理、钢丝网分格、钢筋挂条、后浇带界面打凿修复等完成规范要求的所有费用（含按图纸设计要求添加抗裂剂或膨胀剂）</t>
  </si>
  <si>
    <t>水电安装工程招标清单编制说明</t>
  </si>
  <si>
    <t>1、本工程中，电气以户内箱为界限（住宅）；给水以水表为界限（住宅），之前归为公共部分安装，之后进入户内部分。排水部分除压力排水管外其他排水管归口“户内部分”清单。</t>
  </si>
  <si>
    <t>2、多媒体箱指三网合一多媒体箱，包含底箱、面板、插线板以及光纤盘线等安装附件。</t>
  </si>
  <si>
    <t>3、所有配电系统的暗配管由钢管改为阻燃塑料管（B类），管径由SC15改为PC20，SC20改为PC25，SC25改为PC32，SC32改为 PC40。公共区域普通照明、应急照明按明配管采用JDG。</t>
  </si>
  <si>
    <t>4、所有电力电缆和配电箱均为乙供，但是清单不含电缆、成套配电箱、户内强电配电箱主材价格，此三部分在施工过程中按实际核定。</t>
  </si>
  <si>
    <t>5、变电所配电柜至非居民用电配电箱及楼栋电表箱PE干线为镀锌扁钢。</t>
  </si>
  <si>
    <t>6、弱电地下室或各楼栋到总平第一个检查井进入本次清单范围的强电“其他”中。</t>
  </si>
  <si>
    <t>7、潜水泵中含液位仪的安装及调试。</t>
  </si>
  <si>
    <t>8、污废水排水立管的出户管需穿外墙处当施工图中未设置穿墙刚性防水钢套管时均增设穿墙刚性防水钢套管。</t>
  </si>
  <si>
    <t>9、所有管道均包含压槽费用。</t>
  </si>
  <si>
    <t>10、给排水管出户计算范围以建筑物外墙面1.5米为界；超过1.5米部分根据后期总平井位置按实收方。</t>
  </si>
  <si>
    <t>11、所有防水套管、人防密闭套管单独列项，列入“公共部分”清单。其余楼层穿墙、穿楼板套管计入各分部分项清单综合单价。</t>
  </si>
  <si>
    <t>12、消防管穿楼板洞的预留以及穿剪力墙、砼梁套管属于本次招标范围内。</t>
  </si>
  <si>
    <t>13、生活水箱、消防水池溢流、放空管内衬塑钢管。</t>
  </si>
  <si>
    <t>14、工程量计算规则按GB 50500-2013《建设工程工程量清单计价规范》执行。</t>
  </si>
  <si>
    <t>15、清单项目工程量为零的仍需报价。</t>
  </si>
  <si>
    <t>16、不包含在本次报价范围内的有：外墙处不隐蔽的排水管刷漆费用；弱电监控配管。</t>
  </si>
  <si>
    <t>土石方清单</t>
  </si>
  <si>
    <t>级数</t>
  </si>
  <si>
    <t>项目名称</t>
  </si>
  <si>
    <t>项目特征</t>
  </si>
  <si>
    <t>工程内容</t>
  </si>
  <si>
    <t>单位</t>
  </si>
  <si>
    <t>工程量</t>
  </si>
  <si>
    <t>基准合价（元）</t>
  </si>
  <si>
    <t>浮动后合价（元）</t>
  </si>
  <si>
    <t>投标单位上下浮比例，上浮为正，下浮为负（%）</t>
  </si>
  <si>
    <t>税后综合单价（元）</t>
  </si>
  <si>
    <t>增值税额
9%</t>
  </si>
  <si>
    <t>税前综合单价（元）</t>
  </si>
  <si>
    <t>税前综合单价组价明细</t>
  </si>
  <si>
    <t>人工费（元）</t>
  </si>
  <si>
    <t>主材费
（元）</t>
  </si>
  <si>
    <t>辅材（元）</t>
  </si>
  <si>
    <t>机械费
（元）</t>
  </si>
  <si>
    <t>综合费(含管理费、规费、利润)率(%)</t>
  </si>
  <si>
    <t>综合费(含管理费、规费、利润)</t>
  </si>
  <si>
    <t>主材损耗率</t>
  </si>
  <si>
    <t>A=B+C</t>
  </si>
  <si>
    <t>B=C*9%</t>
  </si>
  <si>
    <t>C=(D+E+F+G+I)</t>
  </si>
  <si>
    <t>D</t>
  </si>
  <si>
    <t>E</t>
  </si>
  <si>
    <t>F</t>
  </si>
  <si>
    <t>G</t>
  </si>
  <si>
    <t>H</t>
  </si>
  <si>
    <t>%</t>
  </si>
  <si>
    <t>土石方机械大开挖及回填</t>
  </si>
  <si>
    <t>含开挖、转运、回填</t>
  </si>
  <si>
    <t>m3</t>
  </si>
  <si>
    <t>场内余土外运</t>
  </si>
  <si>
    <t>场内挖填平衡后余土外运，运输距离5km内，运输过程中的清洁、市政手续办理和监管、弃渣费综合考虑</t>
  </si>
  <si>
    <t>机上机运，机械综合考虑</t>
  </si>
  <si>
    <t>土石方沟槽机械开挖</t>
  </si>
  <si>
    <t>含开挖、内转</t>
  </si>
  <si>
    <t>土石方回填</t>
  </si>
  <si>
    <t>含运输、摊铺、平土、洒水、碾压、夯实</t>
  </si>
  <si>
    <t>平整场地</t>
  </si>
  <si>
    <t>[项目特征]
1.土石类别:综合考虑
2.弃土石运距:综合考虑
3.取土石运距:综合考虑
[工程内容]
1.土石±30cm挖填
2.场地找平
3.场内外运输</t>
  </si>
  <si>
    <t>㎡</t>
  </si>
  <si>
    <t>人工挖土方（内转）</t>
  </si>
  <si>
    <t>[项目特征]
1.土方类别:土方综合考虑
2.开挖方式:综合考虑
3.弃土石运距:本标段范围内综合考虑，超过本标段范围时另按相关清单项计算
4.开挖深度:达到设计要求
[工程内容]
1.排地表水
2.土方开挖
3.挡土板支拆
4.场内运输
5.整平、夯实；修整底、边；
6.围护、支撑、安全防护、警卫
7.基底钎探</t>
  </si>
  <si>
    <t>1、含挖土石（剔打、死角）、装土（石）、修理边坡等
2、按设计图示尺寸以天然密实体积计算，因工作面、放坡增加的工程量、机械进入施工作业面、上下坡道增加的工程量等包含在综合单价中，不再计算。
3、本清单项仅用于机械确实无法进入，无法采用机械开挖的情况，其余原因不予计算。
4.需施工单位通知工程部、项目成本工程师（或造价事务所）、监理单位等相关部门（单位）现场确认后计算，否则不予计算。</t>
  </si>
  <si>
    <t>人工挖石方（内转）</t>
  </si>
  <si>
    <t>[项目特征]
1.土石方类别:土石方综合考虑
2.开挖方式:机械切割、破碎
3.弃土石运距:本标段范围内综合考虑，超过本标段范围时另按相关清单项计算
4.开挖深度:达到设计要求
[工程内容]
1.排地表水
2.土方开挖
3.挡土板支拆
4.场内运输
5.整平、夯实；修整底、边；
6.围护、支撑、安全防护、警卫
7.基底钎探</t>
  </si>
  <si>
    <t>挖基础（坑、槽）石方（仅水钻凿打部分）内转
备注：水钻施工需报施工方案并获得通过后，才能采用该综合单价，否则按普通土石方考虑。</t>
  </si>
  <si>
    <t>[项目特征]
1.土石类别:不区分石方成分，综合考虑（水钻除外）
2.基础类型:综合考虑
3.判断标准:凡图示槽底宽（不含加宽工作面）在5m以内，执行本清单项
4.开挖深度:根据原始地形图、平基施工图、地质勘察报告、基础设计施工图等综合考虑
5.开挖方式:综合考虑
6.弃渣运距:综合考虑
[工程内容]
1.挖沟槽土石方
2.沟槽内土石方回填
3.处理渗水、积水
4.清理
5.场内运输
6.安全防护、警卫
7.围护、支撑
8.平整、夯实；修整底、边</t>
  </si>
  <si>
    <t>1、按实际开挖坑槽本身的石方体积计算。因工作面、放坡增加的工程量、机械进入施工作业面、上下坡道增加的工程量等包含在综合单价中，不再计算。
2、综合单价已包含土石成分、开挖方式、支护方式以及由于爆破、回填、井圈维护、混凝土护壁支护等因素影响产生的费用。
3、综合单价已包含本标段范围内余土外运或借土回填等土方平衡，当发生余土外运或借土回填超过本标段范围时另按相关清单项目计算。</t>
  </si>
  <si>
    <t>桩基清单</t>
  </si>
  <si>
    <t>项   目</t>
  </si>
  <si>
    <t xml:space="preserve">计量规则      </t>
  </si>
  <si>
    <t>工作内容</t>
  </si>
  <si>
    <t>补充说明</t>
  </si>
  <si>
    <t>旋挖桩机钻孔φ600mm及600mm以内</t>
  </si>
  <si>
    <t xml:space="preserve">1.按平整后钻孔时地面标高与桩端部标高之差（摩擦桩按设计桩长）乘桩截面面积以体积计算
2.钢筋另列项计量
3.砼另列项计量
</t>
  </si>
  <si>
    <t xml:space="preserve">1.护筒埋设、机械钻土石（含片石、碎石、砂岩、泥岩等）孔、泥浆制作、护壁、清空、清理沉渣
2.砖砌、拆除浆池及浆沟
3.土石方、废泥浆外运及弃置
4.桩顶浮浆剔除及清理
5.为满足各项桩基检测及试验所进行的配合工作      </t>
  </si>
  <si>
    <t>旋挖桩机钻孔φ700mm</t>
  </si>
  <si>
    <t>1.桩直径：φ700mm
2.桩长度：综合考虑
3.护壁形式及长度：综合各种护壁形式
4.泥浆运距：自行考虑
5.嵌岩深度：满足规范要求
6.土质类别：综合各类土石方  ,包括卵砾石层等</t>
  </si>
  <si>
    <t>旋挖桩机钻孔φ800mm</t>
  </si>
  <si>
    <t>1.桩直径：800mm
2.桩长度：综合考虑
3.护壁形式及长度：综合各种护壁形式
4.泥浆运距：自行考虑
5.嵌岩深度：满足规范要求
6.土质类别：综合各类土石方  ,包括卵砾石层等</t>
  </si>
  <si>
    <t>旋挖桩机钻孔φ900mm</t>
  </si>
  <si>
    <t>旋挖桩机钻孔φ1000mm</t>
  </si>
  <si>
    <t>1.桩直径：1000mm
2.桩长度：综合考虑
3.护壁形式及长度：综合各种护壁形式
4.泥浆运距：自行考虑                5.嵌岩深度：满足规范要求
6.土质类别：综合各类土石方  ,包括卵砾石层等</t>
  </si>
  <si>
    <t xml:space="preserve">1.按平整后钻孔时地面标高与桩端部标高之差（摩擦桩按设计桩长）乘桩截面面积以体积计算
</t>
  </si>
  <si>
    <t>旋挖桩机钻孔φ1100（含φ1100及以外）</t>
  </si>
  <si>
    <t>1.桩直径：1100mm及1100mm以外
2.桩长度：综合考虑
3.护壁形式及长度：综合各种护壁形式
4.泥浆运距：自行考虑 
5.嵌岩深度：满足规范要求
6.土质类别：综合各类土石方  ,包括卵砾石层等</t>
  </si>
  <si>
    <t xml:space="preserve">桩芯混凝土（旋挖桩）商品砼C20 </t>
  </si>
  <si>
    <t xml:space="preserve">1.桩截面:按设计，综合考虑
2.商品砼C20
</t>
  </si>
  <si>
    <t>按设计桩顶标高与桩端部标高之差（摩擦桩按设计桩长）乘桩截面面积以体积计算</t>
  </si>
  <si>
    <t>商砼泵送（或非泵送）至浇筑点、浇捣、运输、养护、损耗、包含充盈，不再另计泵送费</t>
  </si>
  <si>
    <t>砼损耗及充盈系数18%，已综合考虑泵送费</t>
  </si>
  <si>
    <t>桩芯混凝土（旋挖桩）商品砼C25</t>
  </si>
  <si>
    <t xml:space="preserve">1.桩截面:按设计，综合考虑
2.商品砼C25
</t>
  </si>
  <si>
    <t>桩芯混凝土（旋挖桩）商品砼C30</t>
  </si>
  <si>
    <t xml:space="preserve">1.桩截面:按设计，综合考虑
2.商品砼C30
</t>
  </si>
  <si>
    <t>桩芯混凝土（旋挖桩）商品砼C35</t>
  </si>
  <si>
    <t>1.桩截面:按设计，综合考虑
2.商品砼C35</t>
  </si>
  <si>
    <t>声测管预埋</t>
  </si>
  <si>
    <t>声测管下料、按规范埋设等</t>
  </si>
  <si>
    <t>m</t>
  </si>
  <si>
    <t>人工挖孔桩土石方（除水钻外）</t>
  </si>
  <si>
    <t>按空挖体积计算（包含护壁体积）</t>
  </si>
  <si>
    <t>m³</t>
  </si>
  <si>
    <t>人工挖孔桩石方（水钻）
备注：采用水钻施工前应报专项实施方案，经审批通过后才能采用该综合单价，否则按普通石方开挖执行。</t>
  </si>
  <si>
    <t>1.运输方式及挖石深度、弃石距离投标单位综合考虑
2.开挖孔径：小于1.0米（椭圆桩按长边计算）</t>
  </si>
  <si>
    <t>含开挖、凿打、装卸、运输石方、清底等</t>
  </si>
  <si>
    <t>1.运输方式及挖石深度、弃石距离投标单位综合考虑
2.开挖孔径：大于1.0米（包含1.0米）（椭圆桩按长边计算）</t>
  </si>
  <si>
    <t>桩芯混凝土（人工挖孔桩）商品砼C30</t>
  </si>
  <si>
    <t>商品砼C30</t>
  </si>
  <si>
    <t>商砼2%</t>
  </si>
  <si>
    <t>已综合考虑泵送费</t>
  </si>
  <si>
    <t>人工挖孔桩护壁砼C30（自拌）</t>
  </si>
  <si>
    <t>自拌混凝土C30，粗石粉</t>
  </si>
  <si>
    <t>32.5水泥：472.99kg/m3；粗石粉：0.3979t/m3;碎石：1.4119t/m3</t>
  </si>
  <si>
    <t>人工挖孔桩护壁砼C30（商品砼）</t>
  </si>
  <si>
    <t>商品混凝土C30</t>
  </si>
  <si>
    <t>人工挖孔桩护壁模板</t>
  </si>
  <si>
    <t>护壁模板，以与混凝土接触面尺寸的面积计算，包含露出桩模板</t>
  </si>
  <si>
    <t>模板制作、安装、拆除、整理堆放及场内运输；清理模板粘结物及模内杂物、刷隔离剂等</t>
  </si>
  <si>
    <t>桩截桩头</t>
  </si>
  <si>
    <t>1.桩直径：综合各类桩径
2.砼强度等级：综合各类标号
3.桩的类型：综合各类灌注桩</t>
  </si>
  <si>
    <t>不分试验桩、锚桩或工程桩均按根数计算</t>
  </si>
  <si>
    <t>根</t>
  </si>
  <si>
    <t>灌注桩钢筋笼制安</t>
  </si>
  <si>
    <t>钢筋工程量按设计图示钢筋长度乘以单位重量，以t计算；</t>
  </si>
  <si>
    <t>t</t>
  </si>
  <si>
    <t>地下室土建清单</t>
  </si>
  <si>
    <t>基础换填工程</t>
  </si>
  <si>
    <t>毛石换填</t>
  </si>
  <si>
    <t>清理基层、回填、压实</t>
  </si>
  <si>
    <t>建渣换填</t>
  </si>
  <si>
    <t>优质建渣回填、运输工具、运距及夯填方式综合考虑</t>
  </si>
  <si>
    <t>碎砖换填</t>
  </si>
  <si>
    <t>场内碎砖回填、运输工具及夯填方式投标单位综合考虑</t>
  </si>
  <si>
    <t>含运输、摊铺、洒水、碾压、夯实</t>
  </si>
  <si>
    <t>小计</t>
  </si>
  <si>
    <t>地基基础工程</t>
  </si>
  <si>
    <t>基础砼</t>
  </si>
  <si>
    <t>C20商品砼 、特细砂</t>
  </si>
  <si>
    <t>泵送（或非泵送）至浇筑点、浇捣、养护</t>
  </si>
  <si>
    <t>损耗2%</t>
  </si>
  <si>
    <t>综合考虑泵送费</t>
  </si>
  <si>
    <t>C25商品砼 、特细砂</t>
  </si>
  <si>
    <t>C30商品砼 、特细砂</t>
  </si>
  <si>
    <t>C35商品砼 、特细砂</t>
  </si>
  <si>
    <t>C40商品砼 、特细砂</t>
  </si>
  <si>
    <t>C45商品砼 、特细砂</t>
  </si>
  <si>
    <t>C50商品砼 、特细砂</t>
  </si>
  <si>
    <t>坡道室外地坪</t>
  </si>
  <si>
    <t>坡道1：普通混凝土汽车坡道</t>
  </si>
  <si>
    <t>详图纸、技术要求</t>
  </si>
  <si>
    <t>清理基层、水泥炉渣回填碾压、砼搅拌、运输、浇捣、养护、抹水泥砂浆面层 、作逆齿防滑</t>
  </si>
  <si>
    <t>m2</t>
  </si>
  <si>
    <t>①</t>
  </si>
  <si>
    <t>50mm厚C25细石混凝土面层收光，间距40mm切割20mm宽×10mm深的防滑槽</t>
  </si>
  <si>
    <t>C25细石砼：0.051m3/m2</t>
  </si>
  <si>
    <t>②</t>
  </si>
  <si>
    <t>1.5mm厚JS－II型聚合物水泥防水涂料，上翻建筑完成面300高</t>
  </si>
  <si>
    <t>坡道2：耐磨地坪（环氧地坪）坡道</t>
  </si>
  <si>
    <t>环氧树脂地坪（3mm普通水性环氧树脂耐磨地坪，颜色综合考虑）</t>
  </si>
  <si>
    <t>金刚砂耐磨地坪，随混凝土同时施工（3mm金刚砂耐磨地坪，掺量5kg/m2，颜色综合考虑）</t>
  </si>
  <si>
    <t>金刚砂耐磨地坪加密封固化剂，随混凝土同时施工（3mm金刚砂耐磨地坪，掺量5kg/m2，颜色综合考虑）</t>
  </si>
  <si>
    <t>③</t>
  </si>
  <si>
    <t>50mm厚C30细石混凝土面层，内配单层双向Φ6@250钢筋网</t>
  </si>
  <si>
    <t>C30细石砼：0.051m3/m2</t>
  </si>
  <si>
    <t>④</t>
  </si>
  <si>
    <t>坡道3：混凝土坡道</t>
  </si>
  <si>
    <t>40mm厚C20细石混凝土面层收光，间距40mm切割20mm宽×10mm深的防滑槽，厚度保持与相邻踏步等高</t>
  </si>
  <si>
    <t>C20细石砼：0.0408m3/m2</t>
  </si>
  <si>
    <t>坡道：混凝土坡道</t>
  </si>
  <si>
    <t>地基夯实、垫层铺设、砼搅拌、运输、浇捣、养护、抹砂浆面层、变形缝填塞</t>
  </si>
  <si>
    <t>素土夯实，最小厚80mm厚C20混凝土基层坡道</t>
  </si>
  <si>
    <t>C20细石砼：0.0816m3/m2</t>
  </si>
  <si>
    <t>坡道：砖砌坡道</t>
  </si>
  <si>
    <t>砌体之间回填建渣，面层为80厚C20混凝土</t>
  </si>
  <si>
    <t>120mm厚实心砖砌筑，M5水泥砂浆砌筑</t>
  </si>
  <si>
    <t>标准砖240×115×53：0.532千匹/m3；M5湿拌砂浆：0.2366m3/m3</t>
  </si>
  <si>
    <t>地下室汽车坡道</t>
  </si>
  <si>
    <t>60mm厚C30细石混凝土面层，内配单层双向Φ6@200钢筋网</t>
  </si>
  <si>
    <t>清理基层、砼浇筑、养护、抹水泥砂浆面层 、作逆齿防滑</t>
  </si>
  <si>
    <t>C30细石砼：0.0612m3/m2</t>
  </si>
  <si>
    <t>踏步1：自行车车道踏步</t>
  </si>
  <si>
    <t>40mm厚C20细石混凝土面层收光</t>
  </si>
  <si>
    <t>散水1：隐形散水（底层外墙面勒脚与绿化地面直接接触的底层散水）</t>
  </si>
  <si>
    <t>素土夯实，100厚C15混凝土提浆抹面</t>
  </si>
  <si>
    <t>砼主材损耗2%</t>
  </si>
  <si>
    <t>散水2：明散水</t>
  </si>
  <si>
    <t>明沟1（砖砌明沟）</t>
  </si>
  <si>
    <t>20厚1:2.5水泥砂浆内抹灰及找坡</t>
  </si>
  <si>
    <t>32.5水泥：9.67581kg/m2；河砂：0.0264t/m2；</t>
  </si>
  <si>
    <t>20厚DSM15预拌砂浆内抹灰及找坡</t>
  </si>
  <si>
    <t>M5水泥砂浆，Mu10实心砖砌筑</t>
  </si>
  <si>
    <t>100厚C10混凝土垫层</t>
  </si>
  <si>
    <t>暗沟2（砖砌暗沟）</t>
  </si>
  <si>
    <t>120厚C20混凝土预制盖板</t>
  </si>
  <si>
    <t>⑤</t>
  </si>
  <si>
    <t>截水沟</t>
  </si>
  <si>
    <t>钢格盖板、预埋铁件制作、安装、运输、油漆</t>
  </si>
  <si>
    <t>截水沟盖板采用钢格盖板，具体参见图集05S518《雨水口》中第59页大样。</t>
  </si>
  <si>
    <t>kg</t>
  </si>
  <si>
    <t>15mm厚1:3水泥砂浆找平</t>
  </si>
  <si>
    <t>当截水沟下部为房间时</t>
  </si>
  <si>
    <t>32.5水泥：7.74511kg/m2；河砂：0.0203t/m2；</t>
  </si>
  <si>
    <t>1.5mm厚JS－II型聚合物水泥防水涂料</t>
  </si>
  <si>
    <t>砖砌截水沟</t>
  </si>
  <si>
    <t>集水坑</t>
  </si>
  <si>
    <t>钢盖板制作、安装、运输、油漆</t>
  </si>
  <si>
    <t>钢盖板-根据大小选用02J331《地沟及盖板》图集中98~100页中GB8-3、GB10-3、GB12-3中大样；</t>
  </si>
  <si>
    <t>钢筋混凝土盖板-根据大小选用02J331《地沟及盖板》图集中31~33页中B8-1、B10-1、B12-1中大样；</t>
  </si>
  <si>
    <t>踏步1（砖砌踏步）</t>
  </si>
  <si>
    <t>地基夯实、垫层铺设、材料运输、砂浆搅拌、砌砖、勾缝</t>
  </si>
  <si>
    <t>32.5水泥：8.3022kg/m2；河砂：0.0271t/m2；</t>
  </si>
  <si>
    <t>MU10实心砖，M5水泥砂浆砌筑</t>
  </si>
  <si>
    <t>地基夯实</t>
  </si>
  <si>
    <t>踏步2（混凝土踏步）</t>
  </si>
  <si>
    <t>地基夯实、垫层铺设、材料运输、砂浆搅拌、混凝土浇捣、养护等</t>
  </si>
  <si>
    <t>60厚C20混凝土现浇踏步</t>
  </si>
  <si>
    <t>砌筑工程</t>
  </si>
  <si>
    <t>砌页岩空心砖墙
容重800kg/m3</t>
  </si>
  <si>
    <t>墙厚度见图、砖容重800kg/m3；M5水泥石粉浆（现场搅拌）、钢筋加固、细石粉，需要镶嵌的配砖综合考虑在单价内。</t>
  </si>
  <si>
    <t>调、运、铺砂浆，砌筑、安放铁件、加固钢筋</t>
  </si>
  <si>
    <t>页岩空心砖：0.648m3/m3；标准砖200×95×53：0.216千匹/m3；32.5水泥：44.082kg/m3；细石粉：0.2018t/m3；钢筋：2.5kg/m3</t>
  </si>
  <si>
    <t>墙厚度见图、砖容重800kg/m3M5水泥砂浆（现场搅拌）、钢筋加固、细砂，需要镶嵌的配砖综合考虑在单价内。</t>
  </si>
  <si>
    <t>页岩空心砖
：0.648m3/m3；标准砖200×95×53：0.216千匹/m3；32.5水泥：44.082kg/m3；河砂：0.2018t/m3；钢筋：2.5kg/m3</t>
  </si>
  <si>
    <t>砌页岩多孔砖墙
容重800kg/m3</t>
  </si>
  <si>
    <t>墙厚度见图、砖容重800kg/m3；M5水泥砂浆（现场搅拌）、钢筋加固、细砂，需要镶嵌的配砖综合考虑在单价内。</t>
  </si>
  <si>
    <t>页岩多孔砖
：0.81m3/m3；标准砖200×95×53：0.054千匹/m3；32.5水泥：46.314kg/m3；河砂：0.2120t/m3；钢筋：2.5kg/m3</t>
  </si>
  <si>
    <t>砌厚壁型页岩空心砖墙
容重900kg/m3</t>
  </si>
  <si>
    <t>墙厚度见图、砖容重900kg/m3；M5水泥石粉浆（现场搅拌）、钢筋加固、细石粉，需要镶嵌的配砖综合考虑在单价内。</t>
  </si>
  <si>
    <t>墙厚度见图、砖容重900kg/m3；M5水泥砂浆（现场搅拌）、钢筋加固、细砂，需要镶嵌的配砖综合考虑在单价内。</t>
  </si>
  <si>
    <t>砌厚壁型页岩空心砖墙
容重1000kg/m3</t>
  </si>
  <si>
    <t>墙厚度见图、砖容重1000kg/m3；M5水泥石粉浆（现场搅拌）、钢筋加固、细石粉，需要镶嵌的配砖综合考虑在单价内。</t>
  </si>
  <si>
    <t>墙厚度见图、砖容重1000kg/m3；M5水泥砂浆（现场搅拌）、钢筋加固、细砂，需要镶嵌的配砖综合考虑在单价内。</t>
  </si>
  <si>
    <t xml:space="preserve">页岩实心砖墙（配砖）
</t>
  </si>
  <si>
    <t>墙厚度，砖规格200×95×53、强度见图；M5水泥石粉浆（现场搅拌）、钢筋加固、细石粉。</t>
  </si>
  <si>
    <t>墙厚度，砖规格200×95×53、强度见图；M7.5水泥石粉浆（现场搅拌）、钢筋加固、细石粉。</t>
  </si>
  <si>
    <t>页岩实心砖墙（配砖）</t>
  </si>
  <si>
    <t>墙厚度，砖规格200×95×53、强度见图；M5水泥砂浆（现场搅拌）、钢筋加固、细石粉。</t>
  </si>
  <si>
    <t>标准砖200×95×53：0.768千匹/m3；32.5水泥：66.96kg/m3；河砂：0.3065t/m3；钢筋：2.5kg/m3</t>
  </si>
  <si>
    <t>墙厚度，砖规格200×95×53、强度见图；M7.5水泥砂浆（现场搅拌）、钢筋加固、细砂。</t>
  </si>
  <si>
    <t>标准砖200×95×53：0.768千匹/m3；32.5水泥：82.83kg/m3；河砂：0.305t/m3；钢筋：2.5kg/m3</t>
  </si>
  <si>
    <t>页岩实心砖墙（标准砖）</t>
  </si>
  <si>
    <t>墙厚度，砖规格240×115×53、强度见图；M5水泥石粉浆、钢筋加固、细石粉。</t>
  </si>
  <si>
    <t>页岩实心砖墙（标准砖）（</t>
  </si>
  <si>
    <t>墙厚度，砖规格240×115×53、强度见图；M7.5水泥石粉浆、钢筋加固、细石粉。</t>
  </si>
  <si>
    <t>标准砖240×115×53：0.532千匹/m3；32.5水泥：79.576kg/m3；细石粉：0.2949t/m3；钢筋：2.5kg/m3</t>
  </si>
  <si>
    <t>墙厚度，砖规格240×115×53、强度见图；M5水泥砂浆（现场搅拌）、钢筋加固、细砂；</t>
  </si>
  <si>
    <t>标准砖240×115×53：0.532千匹/m3；32.5水泥：64.728kg/m3；河砂：0.2963t/m3；钢筋：2.5kg/m3</t>
  </si>
  <si>
    <t>墙厚度，砖规格240×115×53、强度见图；M7.5水泥砂浆（现场搅拌）、钢筋加固、细砂；</t>
  </si>
  <si>
    <t>标准砖240×115×53：0.532千匹/m3；32.5水泥：79.576kg/m3；河砂：0.2949t/m3；钢筋：2.5kg/m3</t>
  </si>
  <si>
    <t>零星砌砖</t>
  </si>
  <si>
    <t>零星砌砖、综合考虑、强度见图；M5水泥石粉浆，细石粉</t>
  </si>
  <si>
    <t>零星砌砖、综合考虑、强度见图；M7.5水泥石粉浆，细石粉</t>
  </si>
  <si>
    <t>M5混合砂浆（现场搅拌）、细砂</t>
  </si>
  <si>
    <t>标准砖200×95×53：0.5514千匹/m3；32.5水泥：58.869kg/m3；河砂：0.2694t/m3；钢筋：2.5kg/m3</t>
  </si>
  <si>
    <t>M7.5水泥砂浆（现场搅拌）、细砂</t>
  </si>
  <si>
    <t>标准砖200×95×53：0.5514千匹/m3；32.5水泥：58.869kg/m3；河砂：0.2694t/m3；钢筋：2.5kg/m4</t>
  </si>
  <si>
    <t>耐火砖砌体</t>
  </si>
  <si>
    <t>墙厚度，砖规格、强度见图；耐火砂浆、钢筋加固（含墙本身加固及无梁处墙的加固）、细砂</t>
  </si>
  <si>
    <t>补充耐火砂浆</t>
  </si>
  <si>
    <t>蒸压加气混凝土精确砌块砌筑</t>
  </si>
  <si>
    <t>1、砌块的强度等级为A3.5级，密度B05级，粘接砂浆强度等级M5；2、采用专用配套粘接砂浆、抹面砂浆。3、钢筋加固、拉结。4、具体见QB-ZB-TJ036-2017v1土建总包工程招标技术要求&lt;&lt; 蒸压加气混凝土精确砌块应用标准&gt;&gt;</t>
  </si>
  <si>
    <t>材料运输、铺砂浆、砌砖、勾缝</t>
  </si>
  <si>
    <t>蒸压加气混凝土精确砌块：1.02；32.5水泥：28kg/m3</t>
  </si>
  <si>
    <t>砌加气混凝土砌块</t>
  </si>
  <si>
    <t>墙厚度、砖规格700kg/m3、强度见图；M5水泥砂浆（现场搅拌）、钢筋加固、细砂，需要镶嵌的配砖综合考虑在单价内；</t>
  </si>
  <si>
    <t>加气砼砌块
：0.692m3/m3；标准砖200×95×53：0.216千匹/m3；32.5水泥：32.643kg/m3；河砂：0.1494t/m3；钢筋：2.5kg/m3</t>
  </si>
  <si>
    <t xml:space="preserve">砌加气混凝土砌块
</t>
  </si>
  <si>
    <t>墙厚度、砖规格700kg/m3、强度见图；M5水泥石粉浆、钢筋加固、细石粉，需要镶嵌的配砖综合考虑在单价内；</t>
  </si>
  <si>
    <t xml:space="preserve">小计 </t>
  </si>
  <si>
    <t>砼及钢筋砼工程</t>
  </si>
  <si>
    <t>基础外砼</t>
  </si>
  <si>
    <t>C10商品砼、特细砂，综合考虑各种浇筑方式，不再另计泵送费</t>
  </si>
  <si>
    <t>C15商品砼、特细砂，综合考虑各种浇筑方式，不再另计泵送费</t>
  </si>
  <si>
    <t>C20商品砼、特细砂，综合考虑各种浇筑方式，不再另计泵送费</t>
  </si>
  <si>
    <t>C25商品砼、特细砂，综合考虑各种浇筑方式，不再另计泵送费</t>
  </si>
  <si>
    <t>C30商品砼、特细砂，综合考虑各种浇筑方式，不再另计泵送费</t>
  </si>
  <si>
    <t>C35商品砼、特细砂，综合考虑各种浇筑方式，不再另计泵送费</t>
  </si>
  <si>
    <t>C40商品砼、特细砂，综合考虑各种浇筑方式，不再另计泵送费</t>
  </si>
  <si>
    <t>C45商品砼、特细砂，综合考虑各种浇筑方式，不再另计泵送费</t>
  </si>
  <si>
    <t>C50商品砼、特细砂，综合考虑各种浇筑方式，不再另计泵送费</t>
  </si>
  <si>
    <t>C55商品砼、特细砂，综合考虑各种浇筑方式，不再另计泵送费</t>
  </si>
  <si>
    <t>C60商品砼、特细砂，综合考虑各种浇筑方式，不再另计泵送费</t>
  </si>
  <si>
    <t>抗渗（P6/P8）砼增加费</t>
  </si>
  <si>
    <t>1.混凝土强度等级：综合考虑
2.添加剂品种、类型：以设计或实际添加品种、类型为准
3.添加剂掺量按设计要求，掺量为水泥、抗裂剂、掺合料总重量的百分比
4.以有抗渗要求砼方量为基数</t>
  </si>
  <si>
    <t>C20现浇砼 圈梁、过梁</t>
  </si>
  <si>
    <t>C20商品砼 、特细砂，综合考虑各种浇筑方式，不再另计泵送费</t>
  </si>
  <si>
    <t>C25现浇砼 圈梁、过梁</t>
  </si>
  <si>
    <t>C25商品砼 、特细砂，综合考虑各种浇筑方式，不再另计泵送费</t>
  </si>
  <si>
    <t>C20现浇砼 构造柱</t>
  </si>
  <si>
    <t>C25现浇砼 构造柱</t>
  </si>
  <si>
    <t>模摊费（楼梯）（普通木模）</t>
  </si>
  <si>
    <t>按梯段水平投影面积计算，需扣除大于500mm的楼梯井面积</t>
  </si>
  <si>
    <t>除楼梯外模摊费（普通木模）</t>
  </si>
  <si>
    <t>不分构件类别，墙、梁、板、柱、基础、零星构件等综合，按砼与模板接触面的面积计算</t>
  </si>
  <si>
    <t xml:space="preserve">现浇构件钢筋制安 </t>
  </si>
  <si>
    <t>一级钢、φ10以内、连接方式已考虑，不再另计连接费</t>
  </si>
  <si>
    <t>钢材运输、下料、除锈、制作、绑扎、焊接</t>
  </si>
  <si>
    <t>现浇构件钢筋制安</t>
  </si>
  <si>
    <t>一级钢、φ10以上、连接方式已考虑，不再另计连接费</t>
  </si>
  <si>
    <t>三级钢、连接方式已考虑，不再另计连接费</t>
  </si>
  <si>
    <t>钢材运输、下料、除锈、制作、绑扎、焊结、机械连接</t>
  </si>
  <si>
    <t>三级钢带E钢筋、连接方式已考虑，不再另计连接费</t>
  </si>
  <si>
    <t>四级钢、连接方式已考虑，不再另计连接费</t>
  </si>
  <si>
    <t>四级钢带E钢筋、连接方式已考虑，不再另计连接费</t>
  </si>
  <si>
    <t>冷轧带肋钢筋、连接方式已考虑，不再另计连接费</t>
  </si>
  <si>
    <t>钢材运输、下料、制作、绑扎、焊接</t>
  </si>
  <si>
    <t xml:space="preserve">预制构件钢筋制安 </t>
  </si>
  <si>
    <t>预制构件钢筋制安</t>
  </si>
  <si>
    <t>预埋铁件</t>
  </si>
  <si>
    <t>铁件综合</t>
  </si>
  <si>
    <t>制作、安装、运输、油漆</t>
  </si>
  <si>
    <t>六</t>
  </si>
  <si>
    <t>防水防潮工程</t>
  </si>
  <si>
    <t>防水1：地下室底板防水</t>
  </si>
  <si>
    <t>地基夯实、铺找平层、刷粘接剂、铺防水卷材、接逢嵌缝、附加层设置、刷隔离层、铺保护层、砼垫层,原浆压光</t>
  </si>
  <si>
    <t>地下室底板防水（防水1）</t>
  </si>
  <si>
    <t>挖方区及回填土深度≦5米</t>
  </si>
  <si>
    <t>基层处理、铺找平层、刷粘接剂、铺防水卷材、接逢嵌缝、附加层设置、刷隔离层、铺保护层、砼垫层,原浆压光</t>
  </si>
  <si>
    <t>①.2</t>
  </si>
  <si>
    <t>120厚C25素混凝土，原浆收光兼找坡</t>
  </si>
  <si>
    <t>C25商品砼：0.1224m3/m2</t>
  </si>
  <si>
    <t>其他工程</t>
  </si>
  <si>
    <t>1.5mm厚分子粘高分子防水卷材【后浇带及施工缝位置附加层做法详大样】</t>
  </si>
  <si>
    <t>楼地面防水</t>
  </si>
  <si>
    <t>80厚C30细石混凝土保护层压光，内配Φ8@200单层双向钢筋网</t>
  </si>
  <si>
    <t>C30细石砼：0.0816m3/m2；
钢筋网片已包含至辅材中，结算时按实计算（余下清单相同）</t>
  </si>
  <si>
    <t>楼地面</t>
  </si>
  <si>
    <t>地下室底板防水（防水2）</t>
  </si>
  <si>
    <t>挖方区及回填土深度≧5米</t>
  </si>
  <si>
    <t>150厚C25钢筋混凝土,内配∅8＠250双层双向钢筋，原浆收光兼找坡</t>
  </si>
  <si>
    <t>C25商品砼：0.153m3/m2</t>
  </si>
  <si>
    <t>C30细石砼：0.0816m3/m2；</t>
  </si>
  <si>
    <t>地基夯实、砼垫层,原浆压光、细石砼刚性保护层</t>
  </si>
  <si>
    <t>防水砼地下室底板（进入钢筋、砼报价中）</t>
  </si>
  <si>
    <t>60厚C30细石砼(参5%jx-11型硅质防水剂）保护层亚光（间距小于6m设置深30mm双向分隔缝），防水剂材料按比例要求另计算</t>
  </si>
  <si>
    <t>C30细石砼：0.0612m3/m2；</t>
  </si>
  <si>
    <t>Φ6@250单层双向钢筋网</t>
  </si>
  <si>
    <t>地下室底板2（厚度&gt;500的主楼筏板）</t>
  </si>
  <si>
    <t>地基土压实，压实系数不小于0.94（加150厚碎石夯入土中）</t>
  </si>
  <si>
    <t>100mm厚C20素砼垫层</t>
  </si>
  <si>
    <t>40厚C20细石防水砼(参5%jx-11型硅质防水剂），防水剂材料按比例要求另计算</t>
  </si>
  <si>
    <t>C30细石砼：0.0408m3/m2；</t>
  </si>
  <si>
    <t>60厚C30细石砼(惨5%jx-11型硅质防水剂）保护层亚光（间距小于6m设置深30mm双向分隔缝），防水剂材料按比例要求另计算</t>
  </si>
  <si>
    <t>⑥</t>
  </si>
  <si>
    <t>Φ6@200单层双向钢筋网</t>
  </si>
  <si>
    <t>地下室底板3（无结构图抗浮底板地面）</t>
  </si>
  <si>
    <t>150mm厚C20素砼垫层，原浆收光兼找坡1%</t>
  </si>
  <si>
    <t>40厚C20细石防水砼(惨5%jx-11型硅质防水剂），防水剂材料按比例要求另计算</t>
  </si>
  <si>
    <t>砼界面处理剂；60厚C30细石砼(惨5%jx-11型硅质防水剂）保护层亚光（间距小于6m设置深30mm双向分隔缝），防水剂材料按比例要求另计算</t>
  </si>
  <si>
    <t>防水2：底板侧壁防水</t>
  </si>
  <si>
    <t>1.5mm厚湿铺高分子自粘防水卷材</t>
  </si>
  <si>
    <t>②.1</t>
  </si>
  <si>
    <t>20mm厚1:3水泥砂浆找平层</t>
  </si>
  <si>
    <t>②.2</t>
  </si>
  <si>
    <t>20mm厚WSM15水泥砂浆找平层</t>
  </si>
  <si>
    <t>WSM15预拌砂浆：0.0202m3/m2</t>
  </si>
  <si>
    <t>（素土分层夯实，压实系数为0.94），120mm厚永久性砖胎模（多孔砖）在水平方向间距3.5米设120x240扶壁柱，每35米设变形缝一道，缝宽50mm）</t>
  </si>
  <si>
    <t>(素土分层夯实，压实系数为0.94)120mm厚永久性砖胎模（实心砖）在水平方向间距3.5米设120x240扶壁柱，每35米设变形缝一道，缝宽50mm）</t>
  </si>
  <si>
    <t>标准砖240×115×53：0.071千匹/m2；32.5水泥6.5268kg/m2；特细砂0.0299t/m2</t>
  </si>
  <si>
    <t>防水3:地下室外墙防水</t>
  </si>
  <si>
    <t>地下室外墙防水(防水3）</t>
  </si>
  <si>
    <t>1.5mm厚湿铺高分子自粘防水卷材【后浇带及施工缝位置附加层做法详大样】</t>
  </si>
  <si>
    <t>120mm厚永久性砖胎模（多孔砖或实心砖，不得采用空心砖），在水平方向间距3.5米设120x240扶壁柱，每35米设变形缝一道，缝宽50mm）</t>
  </si>
  <si>
    <t>地下室外墙防水(防水3A)</t>
  </si>
  <si>
    <t>基层处理、涂刷防水涂料、保温层45厚垂直岩棉板</t>
  </si>
  <si>
    <t xml:space="preserve">m2 </t>
  </si>
  <si>
    <t>素土分层夯实，压实系数为0.94</t>
  </si>
  <si>
    <t xml:space="preserve">m3 </t>
  </si>
  <si>
    <t>清理基层、粘胶、锚栓固定、防火板材铺设固定、对应网片铺设、固定、防火隔离带的铺设等</t>
  </si>
  <si>
    <t>涂刷1.2厚水泥基渗透结晶型防水涂料（用量不小于1.5Kg/㎡）</t>
  </si>
  <si>
    <t>防水4:地下室顶板防水</t>
  </si>
  <si>
    <t>基层清理，局部找补</t>
  </si>
  <si>
    <t>C20混凝土找坡层，最小厚度40mm，表面抹平</t>
  </si>
  <si>
    <t>C20砼：0.0408m3/m2；</t>
  </si>
  <si>
    <t>湿铺 1.5mm厚高分子防水卷材二道，出顶板建筑物（风井、楼梯间等）处的防水上翻高度为回填土以上300mm，其中主楼墙面防水上翻高度为室内标高上300mm</t>
  </si>
  <si>
    <t>70mm厚C20防水细石混凝土保护层，内配双向ΦR4@200。 （间距小于6m设置20mm宽双向分隔缝，缝内用沥青嵌缝）。</t>
  </si>
  <si>
    <t>C20细石砼：0.0714m3/m2</t>
  </si>
  <si>
    <t>100厚卵石滤水层，粒径25~40mm（或粒径10~25mm的碎石）</t>
  </si>
  <si>
    <t>100厚卵石滤水层，粒径25~40mm</t>
  </si>
  <si>
    <t>100厚卵石滤水层，粒径10~25mm的碎石</t>
  </si>
  <si>
    <t>滤水层上覆300g/㎡土工布（非满布，具体范围详设计）</t>
  </si>
  <si>
    <t>地下室顶板防水</t>
  </si>
  <si>
    <t>基层处理、砼找坡层、刷粘接剂、铺防水卷材、接逢嵌缝、砼铺保护层、滤水层</t>
  </si>
  <si>
    <t>结构顶板上C20混凝土找坡层，最小厚度40mm，表面抹平(采用结构找坡时，取消此条)。</t>
  </si>
  <si>
    <t>4.0mm厚SBS改性沥青耐根穿刺防水卷材</t>
  </si>
  <si>
    <t>50mm厚C20防水细石混凝土保护层，【掺5%JX-II型硅质防水剂】，防水剂材料按比例要求另计算</t>
  </si>
  <si>
    <t>C20细石砼：0.051m3/m2；</t>
  </si>
  <si>
    <t>100厚卵石滤水层，粒径25~40mm（或粒径10~25mm的碎石），</t>
  </si>
  <si>
    <t>滤水层上覆300g/㎡土工布</t>
  </si>
  <si>
    <t>防水5:消防水池</t>
  </si>
  <si>
    <t>基层处理、铺找平层、涂抹防水材料、附加层设置、铺保护层、抹面压光等</t>
  </si>
  <si>
    <t>池底1:3水泥砂浆找坡，最薄处15厚，坡向出水口（超过40mm厚部分用C2O细石混凝土找坡）。池壁基层清理，局部找补</t>
  </si>
  <si>
    <t>32.5水泥：6.2061kg/m2；河砂：0.0203t/m2；</t>
  </si>
  <si>
    <t>1.5mm厚聚氨酯聚合物水泥防水涂料(阴阳角、管道、出水口周边200mm范围内部位附加1.2mm厚聚氨酯，并加玻纤无纺布。)</t>
  </si>
  <si>
    <t>20厚1:2.5水泥砂浆或DSM15预拌砂浆（干拌砂浆）保护层（池底和池壁）</t>
  </si>
  <si>
    <t>20厚1:2.5水泥砂浆（干拌砂浆）保护层（池底和池壁）</t>
  </si>
  <si>
    <t>防水6:有回填的架空层和转换层</t>
  </si>
  <si>
    <t>1.2mm厚JS－II型聚合物水泥防水涂料，上翻建筑完成面以上300mm；管道、地漏周边200mm范围内部位附加1.2mm厚，并加玻纤无纺布；其他阴阳角部位附加玻纤无纺布一道</t>
  </si>
  <si>
    <t>15mm厚水泥砂浆或DSM15预拌砂浆找平层</t>
  </si>
  <si>
    <t>15mm厚水泥砂浆找平层</t>
  </si>
  <si>
    <t>32.5水泥：7.7451kg/m2；河砂：0.0203t/m2；</t>
  </si>
  <si>
    <t>15mm厚DSM15预拌砂浆找平层</t>
  </si>
  <si>
    <t>素土或建渣回填</t>
  </si>
  <si>
    <t>20厚1:2.5水泥砂浆或DSM15预拌砂浆保护层</t>
  </si>
  <si>
    <t>20厚1:2.5水泥砂浆保护层</t>
  </si>
  <si>
    <t>20厚DSM15预拌砂浆保护层</t>
  </si>
  <si>
    <t>1.5mm厚（2.5kg/m2）非固化橡胶沥青防水涂料，遇墙或管线上翻建筑完成面以上300mm</t>
  </si>
  <si>
    <t>80mm厚C20细石混凝土抹平压光（当架空层需要贴砖时，面层压光改为拉毛），内配双向ΦR4@200</t>
  </si>
  <si>
    <t>吐水口</t>
  </si>
  <si>
    <t>安装、固定、嵌缝等</t>
  </si>
  <si>
    <t>个</t>
  </si>
  <si>
    <t>外墙变形缝</t>
  </si>
  <si>
    <t>清理变形缝、面板制作安装、止水带安装等</t>
  </si>
  <si>
    <t>钢板止水带</t>
  </si>
  <si>
    <t>详图纸、技术要求（3mm*300mm）</t>
  </si>
  <si>
    <t>止水带安装</t>
  </si>
  <si>
    <t>地下室与室外地坪交接处塑料油膏嵌缝</t>
  </si>
  <si>
    <t>清理基层、嵌缝</t>
  </si>
  <si>
    <t>水管井(楼面7)</t>
  </si>
  <si>
    <t>楼板上基层清理，水泥砂浆找平，刷防水涂料，水泥砂浆保护层</t>
  </si>
  <si>
    <t>最薄处15mm厚1:3水泥砂浆找坡，2％坡向地漏</t>
  </si>
  <si>
    <t>增补</t>
  </si>
  <si>
    <t>最薄处15mm厚WSM15预拌砂浆找坡，2％坡向地漏</t>
  </si>
  <si>
    <t>WSM15预拌砂浆：0.0151m3/m2</t>
  </si>
  <si>
    <t>30厚C20细石混凝土保护层压光，上翻墙面300mm。</t>
  </si>
  <si>
    <t>C20细石砼：0.0309m3/m2</t>
  </si>
  <si>
    <t xml:space="preserve">屋面等高变形缝 </t>
  </si>
  <si>
    <t>清理变形缝、制作安装等</t>
  </si>
  <si>
    <t xml:space="preserve">屋面不等高变形缝 </t>
  </si>
  <si>
    <t>BW-S止水条</t>
  </si>
  <si>
    <t>含铁件及止水带安装</t>
  </si>
  <si>
    <t>七</t>
  </si>
  <si>
    <t>楼面1、楼面2：普通车库楼地面（地下室机动车库、非机动车库）</t>
  </si>
  <si>
    <t>按GB50037-96《建筑地面设计规范》，构造设计伸缩缝，缝宽3mm。</t>
  </si>
  <si>
    <t>80mm厚C30细石混凝土(内配A8@200单层双向钢筋网)面层打随抹光，大面不找坡，排水口、集水坑周边1m范围内1%坡度，坡向排水口、集水坑，不大于6m*6m分格， (遇人防口部处视情况局部找坡处理)</t>
  </si>
  <si>
    <t>C30细石砼：0.0816m3/m2</t>
  </si>
  <si>
    <t>8mm厚聚乙烯排水板</t>
  </si>
  <si>
    <t>楼面3:水泥砂浆地面（无需回填）</t>
  </si>
  <si>
    <t>20mm厚1:2.5水泥砂浆或水泥石粉浆压光</t>
  </si>
  <si>
    <t>清理基层、刷素水泥浆、铺水泥砂浆、抹面压平</t>
  </si>
  <si>
    <t>20mm厚1:2.5水泥砂浆压光</t>
  </si>
  <si>
    <t>20mm厚DSM15预拌砂浆压光</t>
  </si>
  <si>
    <t>20mm厚1:2.5水泥石粉浆压光</t>
  </si>
  <si>
    <t>32.5水泥：9.67581kg/m2；细石粉：0.0264t/m2；</t>
  </si>
  <si>
    <t>楼面4地下室（需回填）</t>
  </si>
  <si>
    <t>砂夹石回填</t>
  </si>
  <si>
    <t>80厚C20细石混凝土面层压光</t>
  </si>
  <si>
    <t>C20细石砼：0.0816m3/m2；</t>
  </si>
  <si>
    <t>楼面5：生活水箱间、生活水泵房</t>
  </si>
  <si>
    <t>清理基层、刷素水泥浆、铺水泥砂浆、抹面压平，地砖粘贴，勾缝，清理</t>
  </si>
  <si>
    <t>30mm厚1:3干硬性水泥砂浆粘合层</t>
  </si>
  <si>
    <t>水泥砂浆粘贴300x300mm浅色面砖</t>
  </si>
  <si>
    <t>仅报送施工费，面砖另行选样核价</t>
  </si>
  <si>
    <t>精地坪楼面</t>
  </si>
  <si>
    <t>结构层收光，精地坪地面平整度介于0-3mm（取消楼面砂浆找平层（保护层）时适用）</t>
  </si>
  <si>
    <t>混凝土原浆找平收光增加的施工费</t>
  </si>
  <si>
    <t>楼面1（地下室机动车库，除功能用房和车库大堂）</t>
  </si>
  <si>
    <t>清理基层、钢筋砼浇筑磨光</t>
  </si>
  <si>
    <t>60厚C30细石混凝土随打随磨光（内配A8@200单层双向钢筋网），大面不找坡，排水口、集水坑周围1m范围内1%坡度，坡向排水口、集水坑，不大于6MX6M分格。(遇人防口部处视情况局部找坡处理)</t>
  </si>
  <si>
    <t>楼面2、3（功能用房、车库大堂）</t>
  </si>
  <si>
    <t>清理基层、砼面层浇筑、养护</t>
  </si>
  <si>
    <t>60mm厚C20细石混凝土面层</t>
  </si>
  <si>
    <t>清理基层、铺设防滑面砖</t>
  </si>
  <si>
    <t>30mm厚1:3干硬性水泥砂浆粘合层,水泥砂浆粘贴300x300mm浅色防滑面砖</t>
  </si>
  <si>
    <t>面砖另行选样核价</t>
  </si>
  <si>
    <t>八</t>
  </si>
  <si>
    <t>墙柱面工程</t>
  </si>
  <si>
    <t xml:space="preserve"> </t>
  </si>
  <si>
    <t>内墙面专用界面剂</t>
  </si>
  <si>
    <t>1~2mm厚专用界面剂</t>
  </si>
  <si>
    <t>清理基层、打磨修补、堵墙眼、钉钢丝（板）网、分层抹灰</t>
  </si>
  <si>
    <t>内墙面专用抹面砂浆1</t>
  </si>
  <si>
    <t>6~8mm厚专用抹面砂浆（2道成活）</t>
  </si>
  <si>
    <t>内墙面专用抹面砂浆2</t>
  </si>
  <si>
    <t>3mm～5mm厚专用抹面砂浆</t>
  </si>
  <si>
    <t>墙面1：地下室车库、非机动车库、设备用房等所有房间</t>
  </si>
  <si>
    <t>刷108涂料一遍</t>
  </si>
  <si>
    <t>主材费暂定6元/m2</t>
  </si>
  <si>
    <t>甲指乙供</t>
  </si>
  <si>
    <t>满刮Y型内墙腻子两遍</t>
  </si>
  <si>
    <t>满刮N型耐水内墙腻子两遍</t>
  </si>
  <si>
    <t>墙面1：地下室车库、非机动车库、设备用房等所有房间（砼墙与砌体墙连接的墙体、砌体墙面）</t>
  </si>
  <si>
    <t>清理基层、堵墙眼、钉钢丝（板）网、刷素水泥浆、分层抹灰、压光、刮腻子、阴阳角调直、打磨、喷涂料</t>
  </si>
  <si>
    <t>20mm厚DSM15预拌（干混）砂浆抹面</t>
  </si>
  <si>
    <t>白色耐水腻子两道磨平</t>
  </si>
  <si>
    <t>刷白色乳胶漆（防霉）一遍</t>
  </si>
  <si>
    <t>墙面1：地下室车库、非机动车库、设备用房等所有房间（整片砼墙或柱面）</t>
  </si>
  <si>
    <t>清理基层、堵墙眼、刮腻子、阴阳角调直、打磨、喷涂料</t>
  </si>
  <si>
    <t>墙面2:生活水箱间、生活水泵房</t>
  </si>
  <si>
    <t>墙面基层清理，钉钢丝（板）网或玻纤网格布，刷界面剂或素水泥浆，水泥砂浆抹灰、墙砖粘贴</t>
  </si>
  <si>
    <t>满涂1~2mm厚专用界面剂</t>
  </si>
  <si>
    <t>水泥砂浆粘贴300x300浅色面砖，高度1200高</t>
  </si>
  <si>
    <t>生活水箱间、生活水泵房（墙面2）</t>
  </si>
  <si>
    <t>墙面基层清理，刷界面剂或素水泥浆，水泥砂浆抹灰、墙砖粘贴</t>
  </si>
  <si>
    <t>20mm厚水泥砂浆【两次成活，打底为1:3，面层为1:2.5】</t>
  </si>
  <si>
    <t>当房间中有整片剪力墙时：内墙面不抹灰（面砖粘贴高度范围内不取消）</t>
  </si>
  <si>
    <t>32.5水泥：8.7830kg/m2；河砂：0.0269t/m2；</t>
  </si>
  <si>
    <t>内墙抹灰</t>
  </si>
  <si>
    <t>墙面基层清理，水泥砂浆抹灰、墙砖粘贴</t>
  </si>
  <si>
    <t>墙面3：无盖的地下室出入口和机动车坡道、非机动车坡道</t>
  </si>
  <si>
    <t>刮2mm厚柔性腻子（2道成活）</t>
  </si>
  <si>
    <t>白色乳胶漆</t>
  </si>
  <si>
    <t>地下室墙面1：涂料墙面1</t>
  </si>
  <si>
    <t>地下室车库、非机动车库、设备用房等所有房间</t>
  </si>
  <si>
    <t>①.1</t>
  </si>
  <si>
    <t xml:space="preserve">备注：
（1）当为整片剪力墙时：内墙面不抹灰。
（2）所有突出墙体或独立框架柱不抹灰；
（3）机动车库墙柱面涂料高度为：主梁梁底标高，（当有顶面有不同标高时，以各自标高主梁底为准），此标高以上的墙、柱、梁、板不作腻子及涂料。【此条根据项目不同可取消，当顶棚需要刮腻子时，涂料高度至板底】
（4）地下室商业用房作法同住宅房间作法
（5）需要二次装饰的前室、门厅、过道、物管用房仅抹灰。
</t>
  </si>
  <si>
    <t>20厚M5湿拌砂浆</t>
  </si>
  <si>
    <t>零星抹灰</t>
  </si>
  <si>
    <t>一般抹灰、水泥砂浆</t>
  </si>
  <si>
    <t xml:space="preserve">清理基层、分层抹灰、压光     </t>
  </si>
  <si>
    <t>墙面3外墙涂料墙面：无盖的地下室出入口和机动车坡道、非机动车坡道</t>
  </si>
  <si>
    <t>清理基层、打磨修补、堵墙眼、钉钢丝（板）网、分层抹灰、压光、刮腻子、阴阳角调直、打磨、外墙乳胶漆</t>
  </si>
  <si>
    <t>九</t>
  </si>
  <si>
    <t>顶棚工程</t>
  </si>
  <si>
    <t>清理基层、局部找补、刮腻子、阴阳角调直、打磨、涂料</t>
  </si>
  <si>
    <t>清理基层、局部找补、刮腻子、阴阳角调直、打磨</t>
  </si>
  <si>
    <t>十</t>
  </si>
  <si>
    <t>油漆涂料工程</t>
  </si>
  <si>
    <t>地下室踢脚1：调和漆踢脚</t>
  </si>
  <si>
    <t>1、地下汽车库、非机动车库、车道、不作地砖的楼梯间
2、同墙面做法
3、调和漆两遍</t>
  </si>
  <si>
    <t>地下室踢脚2：调和漆踢脚</t>
  </si>
  <si>
    <t>1、室内清水房                                                                  2、100mm高，下翻地面30mm 
3、调和漆两遍</t>
  </si>
  <si>
    <t>醇酸清漆（用于木作）</t>
  </si>
  <si>
    <t>满刮腻子，三遍醇酸清漆</t>
  </si>
  <si>
    <t>基层清理、打磨、刮腻子、刷油、刷漆等</t>
  </si>
  <si>
    <t>醇酸磁漆（用于金属）</t>
  </si>
  <si>
    <t>金属底漆两遍、面漆两遍</t>
  </si>
  <si>
    <t>除锈、清理、打磨、刷漆</t>
  </si>
  <si>
    <t>素水泥浆一道</t>
  </si>
  <si>
    <t>耐水腻子</t>
  </si>
  <si>
    <t>防霉涂料</t>
  </si>
  <si>
    <t>十一</t>
  </si>
  <si>
    <t>其他项目</t>
  </si>
  <si>
    <t>铸铁篦子</t>
  </si>
  <si>
    <t>详见招标技术要求</t>
  </si>
  <si>
    <t>铸铁篦子、预埋铁件制作、安装、运输、油漆</t>
  </si>
  <si>
    <t>成品烟道 断面尺寸300*250*15（不含烟道止回阀）</t>
  </si>
  <si>
    <t>同烟道配套风帽，薄壁水泥混凝土加镀锌钢丝网及烟道止回阀安装</t>
  </si>
  <si>
    <t>成品烟道供应安装(包括与周边墙体交接处，加铺250mm宽、厚0.8mm的9*25孔镀锌钢丝网)</t>
  </si>
  <si>
    <t>成品烟道 断面尺寸400*300*15（不含烟道止回阀）</t>
  </si>
  <si>
    <t>成品烟道 断面尺寸450*600*15（不含烟道止回阀）</t>
  </si>
  <si>
    <t>成品烟道 断面尺寸400*500*15（不含烟道止回阀）</t>
  </si>
  <si>
    <t>成品烟道 断面尺寸450*550*15（不含烟道止回阀）</t>
  </si>
  <si>
    <t>烟道止回阀</t>
  </si>
  <si>
    <t>空调冷媒预留孔洞（PVC-φ50）</t>
  </si>
  <si>
    <t>详图SC2006022-T-44/6</t>
  </si>
  <si>
    <t>制作、安装</t>
  </si>
  <si>
    <t>空调冷媒预留孔洞（PVC-φ75）</t>
  </si>
  <si>
    <t>浴霸排气预留孔洞（PVC-φ110）</t>
  </si>
  <si>
    <t>详图SC2006022-T-28/6</t>
  </si>
  <si>
    <t>盲沟</t>
  </si>
  <si>
    <t>100mm厚C10混凝土垫层,卵石石滤水层,碎石滤水层,粗砂滤水层,土工布,Φ300*6.0PVC-U排水硬聚氯乙烯管材（含钻渗水孔）,做法参见图纸</t>
  </si>
  <si>
    <t>卫生间排气套管</t>
  </si>
  <si>
    <t>DN125焊接钢管</t>
  </si>
  <si>
    <t>挡水沟</t>
  </si>
  <si>
    <t>详西南04J812-3-1b，车道入口处</t>
  </si>
  <si>
    <t>素土夯实、砼搅拌、运输、浇捣、养护、砌砖、抹水泥砂浆面层</t>
  </si>
  <si>
    <t>挡水沟内侧壁防水砂浆</t>
  </si>
  <si>
    <t>1：2水泥砂浆掺5%防水剂（最薄处10）</t>
  </si>
  <si>
    <t>基层处理、抹防水砂浆层</t>
  </si>
  <si>
    <t>挡水沟内沟底找坡</t>
  </si>
  <si>
    <t>1：2水泥砂浆找坡(找坡起点深250,坡度0.5%)</t>
  </si>
  <si>
    <t>基层处理、抹砂浆层</t>
  </si>
  <si>
    <t>水钻钻孔Φ50</t>
  </si>
  <si>
    <t>不分砌体强度、材质、厚度、投标单位综合考虑</t>
  </si>
  <si>
    <t>钻孔、废渣清理、场外运输等</t>
  </si>
  <si>
    <t>水钻钻孔Φ100</t>
  </si>
  <si>
    <t>陶粒回填</t>
  </si>
  <si>
    <t>1:6水泥陶粒</t>
  </si>
  <si>
    <t>不锈钢无动力风帽</t>
  </si>
  <si>
    <t>600*600mm含风帽底座</t>
  </si>
  <si>
    <t>风帽供应，安装</t>
  </si>
  <si>
    <t>900*900mm含风帽底座</t>
  </si>
  <si>
    <t>高密度不锈钢止回阀150*150mm</t>
  </si>
  <si>
    <t>烟道供应</t>
  </si>
  <si>
    <t>高密度不锈钢止回阀80*80mm</t>
  </si>
  <si>
    <t>刚性型硅质防水添加剂（JX-I型）</t>
  </si>
  <si>
    <t>刚性型硅质防水添加剂（JX-II型）</t>
  </si>
  <si>
    <t>刚性型硅质防水添加剂（JX-IIIW型）</t>
  </si>
  <si>
    <t>橡胶止水带</t>
  </si>
  <si>
    <t xml:space="preserve">高层土建清单 </t>
  </si>
  <si>
    <t>辅材费（元）</t>
  </si>
  <si>
    <r>
      <rPr>
        <sz val="10"/>
        <color theme="1"/>
        <rFont val="宋体"/>
        <family val="3"/>
        <charset val="134"/>
      </rPr>
      <t>I=(D+E+F+G)*</t>
    </r>
    <r>
      <rPr>
        <u/>
        <sz val="10"/>
        <color theme="1"/>
        <rFont val="宋体"/>
        <family val="3"/>
        <charset val="134"/>
      </rPr>
      <t>H</t>
    </r>
  </si>
  <si>
    <t>墙厚度见图、砖容重800kg/m3；M5水泥石粉浆、钢筋加固、细石粉，需要镶嵌的配砖综合考虑在单价内。</t>
  </si>
  <si>
    <t>外围护墙 烧结页岩空心砌块</t>
  </si>
  <si>
    <t>墙厚度见图；采用烧结页岩空心砖砌块（外壁厚≥25mm，12孔以上，宽度方向孔洞排数≥5排，矩形孔，交错排列,强度等级不低于MU5.0MPa；钢筋加固、细砂，需要镶嵌的配砖综合考虑在单价内。</t>
  </si>
  <si>
    <t>室内分户墙、防火墙、室内轻隔墙 烧结页岩空心砖砌块</t>
  </si>
  <si>
    <t>墙厚度见图；12孔以上，宽度方向孔洞排数≥5排，矩形孔，交错排列,强度等级不低于MU3.5MPa；钢筋加固、细砂，需要镶嵌的配砖综合考虑在单价内。</t>
  </si>
  <si>
    <t>多孔砖墙</t>
  </si>
  <si>
    <t>墙厚度见图；M5水泥砂浆（现场搅拌）、钢筋加固、细砂，需要镶嵌的配砖综合考虑在单价内。</t>
  </si>
  <si>
    <t>墙厚度见图、砖容重900kg/m3；M5水泥石粉浆、钢筋加固、细石粉，需要镶嵌的配砖综合考虑在单价内。</t>
  </si>
  <si>
    <t>墙厚度见图、砖容重1000kg/m3；M5水泥石粉浆、钢筋加固、细石粉，需要镶嵌的配砖综合考虑在单价内。</t>
  </si>
  <si>
    <t>墙厚度，砖规格200×95×53、强度见图；M5水泥石粉浆、钢筋加固、细石粉。</t>
  </si>
  <si>
    <t>墙厚度，砖规格200×95×53、强度见图；M7.5水泥石粉浆、钢筋加固、细石粉。</t>
  </si>
  <si>
    <t>墙厚度，砖规格200×95×53、强度见图；M5水泥砂浆（现场搅拌）、钢筋加固、细砂。</t>
  </si>
  <si>
    <t>蒸压加气混凝土精确砌块：1.02；32.5水泥：28kg/m3；</t>
  </si>
  <si>
    <t>蒸压加气混凝土砌块</t>
  </si>
  <si>
    <t>墙厚度见图；密度626~725kg/m3,强度等级A5.0；钢筋加固、细砂，需要镶嵌的配砖综合考虑在单价内。</t>
  </si>
  <si>
    <t>加气砼砌块
：0.692m3/m3；标准砖200×95×53：0.216千匹/m3；32.5水泥：32.643kg/m3；细石粉：0.1494t/m3；钢筋：2.5kg/m3</t>
  </si>
  <si>
    <t>地上砼</t>
  </si>
  <si>
    <t>C40商品砼 、特细砂，综合考虑各种浇筑方式，不再另计泵送费</t>
  </si>
  <si>
    <t>C45商品砼 、特细砂，综合考虑各种浇筑方式，不再另计泵送费</t>
  </si>
  <si>
    <t>C50商品砼 、特细砂，综合考虑各种浇筑方式，不再另计泵送费</t>
  </si>
  <si>
    <t>C55商品砼 、特细砂，综合考虑各种浇筑方式，不再另计泵送费</t>
  </si>
  <si>
    <t>C60商品砼 、特细砂，综合考虑各种浇筑方式，不再另计泵送费</t>
  </si>
  <si>
    <t>预制过梁含</t>
  </si>
  <si>
    <t>现浇砼 集水坑 C45P8</t>
  </si>
  <si>
    <t>C45商品砼 、特细砂、P8，综合考虑各种浇筑方式，不再另计泵送费</t>
  </si>
  <si>
    <t>商砼泵送（或非泵送）至浇筑点、浇捣、养护</t>
  </si>
  <si>
    <t>现浇砼  零星项目</t>
  </si>
  <si>
    <t>现场搅拌、运输、浇捣、养护</t>
  </si>
  <si>
    <t>水泥：341.04kg/m3;特细砂：0.5207t/m3；碎石：1.4119t/m3</t>
  </si>
  <si>
    <t>零星构件、C30商品砼，综合考虑各种浇筑方式，不再另计泵送费</t>
  </si>
  <si>
    <t>凸窗PC构件</t>
  </si>
  <si>
    <t xml:space="preserve">1.构件类型：凸窗PC构件                                  2.混凝土强度等级：C30                                3.包含预制构件内各类钢筋                                  4.包含预埋在预制件的各类套筒                       </t>
  </si>
  <si>
    <t>预制构件的制作、运输到场、吊装、安装固定、灌浆、塞缝处理等</t>
  </si>
  <si>
    <t>PC构件暂定基价</t>
  </si>
  <si>
    <t>阳台PC构件</t>
  </si>
  <si>
    <t xml:space="preserve">1.构件类型：阳台PC构件                                  2.混凝土强度等级：C30                                3.包含预制构件内各类钢筋                                  4.包含预埋在预制件的各类套筒                       </t>
  </si>
  <si>
    <t>楼梯PC构件</t>
  </si>
  <si>
    <t xml:space="preserve">1.构件类型：楼梯PC构件                                  2.混凝土强度等级：C30                                3.包含预制构件内各类钢筋                                  4.包含预埋在预制件的各类套筒                       </t>
  </si>
  <si>
    <t>楼梯外模摊费（普通木模）</t>
  </si>
  <si>
    <t>不分构件类别，梁、板、柱、基础、零星构件等综合，按砼与模板接触面的面积计算</t>
  </si>
  <si>
    <t>铝模模摊费（楼梯）</t>
  </si>
  <si>
    <t>按梯段水平投影面积计算，需扣除大于500mm的楼梯井面积，支模高度综合考虑</t>
  </si>
  <si>
    <t>铝模模摊费（除楼梯外）</t>
  </si>
  <si>
    <t>不分构件类别，梁、板、柱、基础、零星构件等综合，按砼与模板接触面的面积计算，支模高度综合考虑</t>
  </si>
  <si>
    <t>制作、安装、运输、油漆（所有外露钢构件均按刷防锈漆二度、调和漆二度考虑报价)</t>
  </si>
  <si>
    <t>屋面及防水防潮工程</t>
  </si>
  <si>
    <t>屋面1保温平屋面</t>
  </si>
  <si>
    <t>基层处理、铺找坡材料、抹找平层、粘贴保温材料、铺防水材料、分仓缝设置及嵌缝、附加层设置、保护层等</t>
  </si>
  <si>
    <t>最薄处30mm厚小颗粒陶粒混凝土找坡2%</t>
  </si>
  <si>
    <t>最薄处30mm厚LC5.0轻骨料混凝土找坡2%</t>
  </si>
  <si>
    <t>最薄处30mm厚小颗粒陶粒混凝土找坡2%；</t>
  </si>
  <si>
    <t>20mm厚DSM15预拌砂浆找平层</t>
  </si>
  <si>
    <t>32.5水泥：8.3022kg/m2；细石粉：0.0271t/m2；</t>
  </si>
  <si>
    <t>1.5mm厚JS-Ⅱ型聚合物水泥防水涂料，上翻高度为屋面建筑完成面250mm高</t>
  </si>
  <si>
    <t>湿铺法1.5mm厚高分子防水卷材，上翻高度为屋面建筑完成面250 mm高；（防水材料应采用水泥浆满粘）</t>
  </si>
  <si>
    <t>40mm厚C20细石混凝土保护层，内配双向ΦR4@150冷拔钢丝或Φ6.5@200的Ⅰ级钢筋，面层压光;按间距小于6m设置20mm宽双向分格缝，内嵌油膏</t>
  </si>
  <si>
    <t>40mm厚C20细石混凝土保护层，内配双向ΦR4@150冷拔钢丝，面层压光;按间距小于6m设置20mm宽双向分格缝，内嵌油膏</t>
  </si>
  <si>
    <t>C20细石砼：0.0408m3/m2
钢筋网片已包含至辅材中，结算时按实计算（余下清单相同）</t>
  </si>
  <si>
    <t>屋面2 不保温平屋面</t>
  </si>
  <si>
    <t>无保温</t>
  </si>
  <si>
    <t>40mm厚C20细石混凝土保护层，内配双向ΦR4@150冷拔钢丝或Φ6@200的Ⅰ级钢筋，面层压光;按间距小于6m设置20mm宽双向分格缝，内嵌油膏</t>
  </si>
  <si>
    <t>40mm厚C20细石混凝土保护层，内配双向Φ6@200的Ⅰ级钢筋，面层压光;按间距小于6m设置20mm宽双向分格缝，内嵌油膏</t>
  </si>
  <si>
    <t>屋面3 保温挂瓦屋面</t>
  </si>
  <si>
    <t>钢筋混凝土楼板，预埋Φ10@600(双向)镀锌钢筋，伸出持钉层30~50</t>
  </si>
  <si>
    <t>15mm厚1:3水泥砂浆或水泥石粉浆找平</t>
  </si>
  <si>
    <t>15mm厚DSM15预拌砂浆找平</t>
  </si>
  <si>
    <t>32.5水泥：7.7451kg/m2；细石粉：0.0203t/m2；</t>
  </si>
  <si>
    <t>2mm厚JS-Ⅱ型聚合物水泥防水涂料，上翻高度为屋面建筑完成面250 mm高</t>
  </si>
  <si>
    <t>30㎜厚挤塑聚苯板保温层（最终厚度按设计确定）</t>
  </si>
  <si>
    <t>40㎜厚C20细石混凝土保护层(持钉层)，内配双向ΦR4@200钢筋，面层抹平压光；（钢筋网与楼板预埋钢筋相交处绑扎固定）</t>
  </si>
  <si>
    <t>屋面挂瓦面层（详附图）</t>
  </si>
  <si>
    <t>⑦</t>
  </si>
  <si>
    <t>挤塑聚苯板保温层厚度每增减5mm</t>
  </si>
  <si>
    <t>屋面4 非保温挂瓦屋面</t>
  </si>
  <si>
    <t>32.5水泥：7.7451kg/m2；细石粉：0.0203t/m3；</t>
  </si>
  <si>
    <t>5mm厚掺有纤维的石灰砂浆</t>
  </si>
  <si>
    <t>屋面5 小型建筑构件（空调板、雨篷板）</t>
  </si>
  <si>
    <t>清理基层、找平、刷防水层、抹水泥砂浆保护层</t>
  </si>
  <si>
    <t>最薄处20mm厚1:2.5水泥防水砂浆，2%坡向排水口</t>
  </si>
  <si>
    <t>最薄处20mm厚DSM15预拌砂浆，2%坡向排水口</t>
  </si>
  <si>
    <t>最薄处15mm厚1:3水泥砂浆或DSM15预拌砂浆找平兼找坡层，2%坡向排水口</t>
  </si>
  <si>
    <t>最薄处15mm厚1:3水泥砂浆找平兼找坡层，2%坡向排水口</t>
  </si>
  <si>
    <t>最薄处15mm厚DSM15预拌砂浆找平兼找坡层，2%坡向排水口</t>
  </si>
  <si>
    <t>最薄处15mm厚WSM15预拌砂浆找平兼找坡层，2%坡向排水口</t>
  </si>
  <si>
    <t>20㎜厚1:2.5水泥砂浆保护层压光</t>
  </si>
  <si>
    <t>20㎜厚DSM15预拌砂浆保护层压光</t>
  </si>
  <si>
    <t>基层处理、铺找平层、涂抹防水材料、附加层设置、铺保护层</t>
  </si>
  <si>
    <t>素土夯实（压实系数为0.94），100mm厚C20混凝土，内配双向Φ6@250钢筋网（具体项目作法以图纸为准）</t>
  </si>
  <si>
    <t>C20砼：0.12m3/m2</t>
  </si>
  <si>
    <t>最薄处15mm厚1：3水泥砂浆或DSM15预拌砂浆找平兼找坡层，1％坡向地漏</t>
  </si>
  <si>
    <t>最薄处15mm厚1:3水泥砂浆找平兼找坡层，1%坡向排水口</t>
  </si>
  <si>
    <t>最薄处15mm厚DSM15预拌砂浆找平兼找坡层，1%坡向排水口</t>
  </si>
  <si>
    <t>DSM15预拌砂浆：0.0153m3/m2</t>
  </si>
  <si>
    <t>最薄处15mm厚WSM15预拌砂浆找平兼找坡层，1%坡向排水口</t>
  </si>
  <si>
    <t>1.5mm厚JS－II型聚合物水泥防水涂料，并上翻保护层以上300mm；门洞处防水层向房间内延伸300mm；管道、地漏周边200mm范围内附加1.5mm厚JS－II型，并加玻纤无纺布；其他阴阳角部位（包括门洞处）附加玻纤无纺布一道</t>
  </si>
  <si>
    <t>15mm厚1:2.5水泥砂浆或DSM15预拌砂浆保护层拉毛</t>
  </si>
  <si>
    <t>15mm厚1:2.5水泥砂浆保护层拉毛</t>
  </si>
  <si>
    <t>15mm厚DSM15预拌砂浆保护层拉毛</t>
  </si>
  <si>
    <t>素土夯实、铺设混凝土垫层、压入钢筋网、水泥砂浆找坡、刷防水涂料、细石混凝土面积、压入钢丝网</t>
  </si>
  <si>
    <t>湿铺法1.5mm厚高分子防水卷材I型防潮层；管道、烟道、周边及其他阴阳角部位200mm范围内部位附加一道</t>
  </si>
  <si>
    <t>40mm厚C20细石混凝土保护层，配双向Φ6.0@200钢筋。</t>
  </si>
  <si>
    <t>地面3：大堂、电梯厅、楼梯间、公共走道</t>
  </si>
  <si>
    <t>湿铺法1.5mm厚高分子防水卷材I型防潮层；管道、烟道、周边及其他阴阳角部位200mm范围内部位附加一道。）</t>
  </si>
  <si>
    <t>地面 4:首层架空的地面(架空区域无任何功能用房)</t>
  </si>
  <si>
    <t>1.5mm厚JS-Ⅱ型聚合物水泥防水涂料</t>
  </si>
  <si>
    <t>1.5mm厚高分子自粘卷材I型（表面PE膜）</t>
  </si>
  <si>
    <t>40mm厚C20防水细石混凝土保护层，内配双向Φ6.O@200。 （间距小于6m设置20mm宽双向分隔缝）。</t>
  </si>
  <si>
    <t>地面4：无水房间地面</t>
  </si>
  <si>
    <t>15mm厚1：3水泥砂浆或DSM15预拌砂浆找平层</t>
  </si>
  <si>
    <t>15mm厚1：3水泥砂浆找平层</t>
  </si>
  <si>
    <t>湿铺法1.5mm厚高分子防水卷材防潮层；管道、烟道、周边及其他阴阳角部位200mm范围内部位附加一道</t>
  </si>
  <si>
    <t>20㎜厚1:2.5水泥砂浆或DSM15预拌砂浆保护层拉毛</t>
  </si>
  <si>
    <t>20mm厚1:2.5水泥砂浆保护层拉毛</t>
  </si>
  <si>
    <t>20mm厚DSM15预拌砂浆保护层拉毛</t>
  </si>
  <si>
    <t>30厚挤塑聚苯板保温层（具体详节能设计专篇）</t>
  </si>
  <si>
    <t>⑤-1</t>
  </si>
  <si>
    <t>楼面1：住宅、商铺部分无水房间
水泥砂浆楼面</t>
  </si>
  <si>
    <t>楼板上基层清理，水泥砂浆找平</t>
  </si>
  <si>
    <t>20mm厚1:2.5水泥砂浆或DSM15预拌砂浆找平拉毛(采用精地坪时取消此层)</t>
  </si>
  <si>
    <t>20mm厚1:2.5水泥砂浆保护层拉毛(采用精地坪时取消此层)</t>
  </si>
  <si>
    <t>20mm厚DSM15预拌砂浆保护层拉毛(采用精地坪时取消此层)</t>
  </si>
  <si>
    <t>全轻混凝土厚度每增减5mm</t>
  </si>
  <si>
    <t>楼面1、2：住宅、商铺、功能转换楼板、无水房间</t>
  </si>
  <si>
    <t>住宅、商铺、无水房间、功能转换楼板</t>
  </si>
  <si>
    <t>新增</t>
  </si>
  <si>
    <t>40厚全轻混凝土（客厅、卧室、书房、商铺地面压光刻痕
表面刻痕）</t>
  </si>
  <si>
    <t>墙面200mm内采用收光处理，200mm外刻痕处理</t>
  </si>
  <si>
    <t>楼面2：住宅架空楼板</t>
  </si>
  <si>
    <t>15mm厚WSM15预拌砂浆找平层(采用精地坪时取消此层)</t>
  </si>
  <si>
    <t>楼面3：卫生间、下部空间为非室内空间的露台、室外踏步及走道水泥砂浆楼面</t>
  </si>
  <si>
    <t>最薄处15mm厚1:3水泥砂浆或DSM15预拌砂浆找平兼找坡层，1％坡向地漏</t>
  </si>
  <si>
    <t>最薄处15mm厚WSM15预拌砂浆</t>
  </si>
  <si>
    <t>1.5mm厚JS－II型聚合物水泥防水涂料，并采用1.2mm厚JS－II型聚合物水泥防水涂料上翻保护层以上300mm（卫生间内墙上翻高度见内5）；门洞处防水层向外延伸300mm，管道、地漏周边200mm范围内附加1.2mm厚，并加玻纤无纺布；其他阴阳角部位（包括门洞处）附加玻纤无纺布一道</t>
  </si>
  <si>
    <t>15㎜厚1:2.5水泥砂浆或DSM15预拌砂浆保护层拉毛</t>
  </si>
  <si>
    <t>30厚C20细石混凝土保护层</t>
  </si>
  <si>
    <t>C20细石砼：0.0306m3/m2</t>
  </si>
  <si>
    <t>楼面5：转换层需要回填楼面</t>
  </si>
  <si>
    <t>楼板上基层清理，水泥砂浆找平，刷防水涂料，水泥砂浆保护层等</t>
  </si>
  <si>
    <t>1.5mm厚JS－II型聚合物水泥防水涂料，上翻保护层以上300mm；管道、地漏周边200mm范围内部位附加1.5mm厚，并加玻纤无纺布；门洞处防水层向房间内延伸300mm；其他阴阳角部位（包括门洞处）附加玻纤无纺布一道。</t>
  </si>
  <si>
    <t>湿铺法1.5mm厚高分子防水卷材一道，上翻至建筑完成面以上300mm；管道、烟道、周边及其他阴阳角部位200mm范围内部位附加一道.（防水材料应采用水泥浆满粘）。</t>
  </si>
  <si>
    <t>20mm厚1:2.5水泥砂浆或DSM15预拌砂浆保护层</t>
  </si>
  <si>
    <t xml:space="preserve">20㎜厚1:2.5水泥砂浆保护层 </t>
  </si>
  <si>
    <t xml:space="preserve">20㎜厚DSM15预拌砂浆保护层 </t>
  </si>
  <si>
    <t>DSM15预拌砂浆：0.0204m3/m2</t>
  </si>
  <si>
    <t>陶粒混凝土回填</t>
  </si>
  <si>
    <t>100mm厚C20混凝土，一次性压实收光，内配双向Φ6@250钢筋网（具体项目作法以图纸为准）</t>
  </si>
  <si>
    <t>1.2mm厚JS－II型聚合物水泥防水涂料，上翻保护层以上300mm；管道、地漏周边200mm范围内部位附加1.2mm厚，并加玻纤无纺布；门洞处防水层向房间内延伸300mm；其他阴阳角部位（包括门洞处）附加玻纤无纺布一道。</t>
  </si>
  <si>
    <t>楼面5：不封闭阳台楼面</t>
  </si>
  <si>
    <t>最薄处15mm厚1:3水泥砂浆找平兼找坡层，1％坡向地漏</t>
  </si>
  <si>
    <t>最薄处15mm厚DSM15预拌砂浆找平兼找坡层，1％坡向地漏</t>
  </si>
  <si>
    <t>1.5mm厚JS－II型聚合物水泥防水涂料，上翻保护层以上300mm（若挡水线高度低于300则至挡水线高度）；管道、地漏周边200mm范围内部位附加1.2mm厚，并加玻纤无纺布；门洞处防水层向房间内延伸300mm；其他阴阳角部位（包括门洞处）附加玻纤无纺布一道。</t>
  </si>
  <si>
    <t>楼面6：阳台2（未降板灰空间阳台）</t>
  </si>
  <si>
    <t>楼面7：水管井、水表间、</t>
  </si>
  <si>
    <t>最薄处15mm厚1:3水泥砂浆或DSM15预拌砂浆找坡，2％坡向地漏</t>
  </si>
  <si>
    <t>最薄处15mm厚DSM15预拌砂浆找坡，2％坡向地漏</t>
  </si>
  <si>
    <t>1.5mm厚JS－II型聚合物水泥防水涂料，上翻保护层以上300mm；管道、地漏周边200mm范围内部位附加1.5mm厚，并加玻纤无纺布；其他阴阳角部位附加玻纤无纺布一道（附加层含在综合单价中）（有取水点处水管井防水上翻到墙面800高）</t>
  </si>
  <si>
    <t>20厚1:2.5水泥砂浆或DSM15预拌砂浆保护层压光，上翻墙面300mm</t>
  </si>
  <si>
    <t>20厚1:2.5水泥砂浆保护层压光，上翻墙面300mm</t>
  </si>
  <si>
    <t>20厚DSM15预拌砂浆保护层压光，上翻墙面300mm</t>
  </si>
  <si>
    <t xml:space="preserve">楼面9：水泥砂浆消防楼梯间地下室楼梯间、物管用房、社区
</t>
  </si>
  <si>
    <t>清理基层、30厚C20细石混凝土保护层</t>
  </si>
  <si>
    <t xml:space="preserve">楼面10：电井/风井 </t>
  </si>
  <si>
    <t>钢筋混凝土结构层基层清理，局部找补</t>
  </si>
  <si>
    <t>楼面11：电梯机房</t>
  </si>
  <si>
    <t>30mm预拌（干混）砂浆找平层，1：2.5水泥砂浆粘贴600*600防滑地砖</t>
  </si>
  <si>
    <t>清理基层、砂浆找平层，粘贴防滑地砖</t>
  </si>
  <si>
    <t>楼面12：商业外走廊</t>
  </si>
  <si>
    <t>最薄处30mm厚小颗粒陶粒混凝土找坡2%，坡向地漏；</t>
  </si>
  <si>
    <t>20mm厚DSM15预拌（干混）砂浆找平层；</t>
  </si>
  <si>
    <t>涂刷1.5mm厚JS－II型聚合物水泥防水涂料，上翻部分厚度1.2mm，上翻高度超出楼面标高250mm；管道、地漏周边200mm范围内附加1.2mm厚，并加玻纤无纺布；其他阴阳角部位（包括门洞处）附加玻纤无纺布一道；</t>
  </si>
  <si>
    <t>C20混凝土地面垫层</t>
  </si>
  <si>
    <t>60厚C20混凝土</t>
  </si>
  <si>
    <t>C15混凝土地面垫层</t>
  </si>
  <si>
    <t>60厚C15混凝土</t>
  </si>
  <si>
    <t>C20混凝土地面垫层（有筋）</t>
  </si>
  <si>
    <t>50厚C20混凝土（内配Φ6@150钢筋）（报价含钢筋）</t>
  </si>
  <si>
    <t>C20混凝土地面垫层(有筋)</t>
  </si>
  <si>
    <t>60mm厚C20防水细石混凝土保护层，内配双向Φ6@200</t>
  </si>
  <si>
    <t>100厚C20混凝土(内配双向φ6@250钢筋)（报价含钢筋）</t>
  </si>
  <si>
    <t>钢筋制作、铺设、现场搅拌砼、运输、浇捣、养护</t>
  </si>
  <si>
    <t>内1：腻子内墙面，卧室、书房、客/餐厅、过道、储藏室、</t>
  </si>
  <si>
    <t>清理基层、打磨修补、堵墙眼、钉钢丝（板）网或玻纤网格布、抹灰、腻子</t>
  </si>
  <si>
    <t>20mm厚预拌（干混）砂浆抹面找平层</t>
  </si>
  <si>
    <t>灰色水泥基腻子（2道成活，门洞翻边50mm，飘窗四周白色腻子阴阳角各翻边100mm）</t>
  </si>
  <si>
    <t>内1b：薄抹灰腻子内墙面，住宅室内无水房间、商铺、未降板可改造阳台</t>
  </si>
  <si>
    <t>清理基层、打磨修补、堵墙眼、钉钢丝（板）网或玻纤网格布、抹界面剂</t>
  </si>
  <si>
    <t>3-5mm厚专用抹面砂浆抹灰</t>
  </si>
  <si>
    <t>界面剂结合层</t>
  </si>
  <si>
    <t>内1c：薄抹灰砂浆内墙面，住宅室内无水房间、商铺、未降板可改造阳台</t>
  </si>
  <si>
    <t>清理基层、打磨修补、堵墙眼、钉钢丝（板）网或玻纤网格布、分层抹灰；钢丝（板）网、玻纤网格布实施部位详技术要求和图纸</t>
  </si>
  <si>
    <t>不考虑腻子墙面</t>
  </si>
  <si>
    <t>内2：白色乳胶漆内墙，公共楼梯间、电梯机房、门卫室、物管、社区等办公</t>
  </si>
  <si>
    <t>清理基层、打磨修补、堵墙眼、钉钢丝（板）网或玻纤网格布、分层抹灰、腻子两道、乳胶漆一底两面</t>
  </si>
  <si>
    <t>面罩白色乳胶漆一底两面</t>
  </si>
  <si>
    <t>腻子两道（正负零以下为N型耐水腻子）</t>
  </si>
  <si>
    <t>内3：砂浆内墙面，风井、发电机房排烟道、地下室出地面风井</t>
  </si>
  <si>
    <t>10mm厚砌筑砂浆随砌随抹详技术要求和图纸</t>
  </si>
  <si>
    <t>10mm厚砌筑砂浆随砌随抹</t>
  </si>
  <si>
    <t>内4、5：水箱间、水管井；住宅卫生间、住宅厨房；物管卫生间</t>
  </si>
  <si>
    <t>墙面涂刷1.2mm厚JS－II型聚合物水泥防水涂料（防潮层）,上翻部分厚度1.2mm，上翻高度超出楼面标高300mm；管道周边200mm范围内附加1.2mm厚JS－II型，并加玻纤无纺布；其他阴阳角部位（包括门洞处）附加玻纤无纺布一道，（卫生间整体上翻高度为1800mm，厨房防水高度300mm，上翻起算标高为楼面建筑标高）</t>
  </si>
  <si>
    <t>15mm厚1:3水泥砂浆或DSM15预拌砂浆找平层(对加气混凝土精确砌块墙体，为满刮界面剂加6~8mm厚专用抹面砂浆)</t>
  </si>
  <si>
    <t>15mm厚1:3水泥砂浆找平层</t>
  </si>
  <si>
    <t>内7：
公共通道
底层门厅</t>
  </si>
  <si>
    <t>清理基层、打磨修补、堵墙眼、钉钢丝（板）网或玻纤网格布、分层抹灰；钢丝（板）网、玻纤网格布实施部位详技术要求和图纸、抹灰</t>
  </si>
  <si>
    <t>外2：女儿墙、阳台、露台栏板或翻边的外侧，以及其他无保温层的面砖外墙</t>
  </si>
  <si>
    <t>清理基层、找补、打磨修补、堵墙眼、钉钢丝（板）网或玻纤网格布、分层抹灰；钢丝（板）网、玻纤网格布实施部位详技术要求和图纸</t>
  </si>
  <si>
    <t>外墙砖（专用勾缝剂勾缝）</t>
  </si>
  <si>
    <t>外墙瓷砖专用粘结剂</t>
  </si>
  <si>
    <t>涂刷专用抗渗界面剂1-2mm厚、3-5mm厚专用抹面砂浆抹灰（全现浇外墙取消本薄抹灰层）</t>
  </si>
  <si>
    <t>涂刷专用抗渗界面剂1-2mm厚</t>
  </si>
  <si>
    <t>3-5mm厚专用抹面砂浆抹灰（全现浇外墙取消本薄抹灰层）</t>
  </si>
  <si>
    <t>外4：外保温面砖外墙</t>
  </si>
  <si>
    <t>外1：外保温涂料外墙</t>
  </si>
  <si>
    <t>外墙涂料构造详设计</t>
  </si>
  <si>
    <t>乳胶漆涂料平涂</t>
  </si>
  <si>
    <t>1、批嵌外墙腻子两道
2、涂刷抗碱封闭底漆一道
3、滚涂面漆两道
4、其他：详图纸和招标技术要求。</t>
  </si>
  <si>
    <t>清理基层、刮腻子、喷涂涂料等</t>
  </si>
  <si>
    <t>乳胶漆涂料平涂（高层）</t>
  </si>
  <si>
    <t>乳胶漆涂料弹性拉花</t>
  </si>
  <si>
    <t>质感涂料通体</t>
  </si>
  <si>
    <t>1、批嵌外墙腻子两道
2、涂刷抗碱封闭底漆一道
3、批涂/喷涂通体/非通体质感涂料（根据效果确定施工工艺）
4、喷涂一道
5、其他：详图纸和招标技术要求。</t>
  </si>
  <si>
    <t>质感涂料非通体</t>
  </si>
  <si>
    <t>真石漆</t>
  </si>
  <si>
    <t>1、批嵌外墙腻子两道
2、涂刷抗碱封闭底漆一道(喷漆前沟缝分格)
3、喷真石漆（遍数根据效果和工艺确定）
4、喷涂罩面漆一道
5、其他：详图纸和招标技术要求。</t>
  </si>
  <si>
    <t>水包水多彩荔枝面</t>
  </si>
  <si>
    <t>1、外墙腻子两道
2、抗碱封闭底漆一道
3、喷涂仿花岗岩涂料（遍数根据效果和工艺确定）
4、喷涂罩面漆一道
5、其他：详图纸和招标技术要求。</t>
  </si>
  <si>
    <t>水包水多彩光面</t>
  </si>
  <si>
    <t>水包水多彩火烧面</t>
  </si>
  <si>
    <t>水包水多彩毛面</t>
  </si>
  <si>
    <t>氟碳漆（平涂）</t>
  </si>
  <si>
    <t xml:space="preserve">1、批嵌外墙腻子三遍（依次为找平腻子、滑爽腻子、抛光腻子）
2、喷涂抗碱封闭底漆一道
3、喷涂氟碳漆中涂一道
4、喷涂氟碳面漆一道
5、喷涂罩面漆一道
</t>
  </si>
  <si>
    <t>氟碳漆（质感）</t>
  </si>
  <si>
    <t>内墙面抹灰（厨房、卫生间）</t>
  </si>
  <si>
    <t>15mm厚1:3水泥砂浆</t>
  </si>
  <si>
    <t>15mm厚DSM15预拌砂浆</t>
  </si>
  <si>
    <t>内墙抹灰（公区）</t>
  </si>
  <si>
    <t xml:space="preserve">1、基层墙体
2、15mm厚1:3水泥砂浆或DSM15预拌砂浆找平层
3、装饰层（二装做） </t>
  </si>
  <si>
    <t>1、15mm厚1:3水泥砂浆</t>
  </si>
  <si>
    <t>1、15mm厚DSM15预拌砂浆找平层</t>
  </si>
  <si>
    <t>内墙面抹灰</t>
  </si>
  <si>
    <t>20mm厚预拌砂浆【两次成活，打底为DSM15，面层为DSM20】当房间中有整片剪力墙时取消抹灰层，在基层墙面清理找补后施工面层。
（1）混凝土梁、柱、墙与砖墙（或不同性材料）交接处内外侧挂200宽钢丝网（钢丝网的规格0.5㎜厚，网格12.7mm×12.7mm，宽度为伸入砌体和梁、柱各100mm，用射钉固定，挂网做到平整牢固，密实），抹灰墙面（顶棚）和不抹灰墙面（顶棚）的交接部位粘200mm宽玻纤布，伸入两侧各100mm。
（2）线槽必须使用细石混凝土填实，当线槽铺管≥3根时，抹灰时需要挂钢丝网，网宽槽边外延100mm。</t>
  </si>
  <si>
    <t>清理基层、打磨修补、堵墙眼、钉钢丝（板）网、刷素水泥浆、分层抹灰、压光</t>
  </si>
  <si>
    <t>DSM15预拌砂浆：0.0133M3/m2;DSM20预拌砂浆0.0071m3/m2</t>
  </si>
  <si>
    <t>20mm水泥砂浆【两次成活，打底为1:3，面层为1:2.5】当房间中有整片剪力墙时取消抹灰层，在基层墙面清理找补后施工面层。
（1）混凝土梁、柱、墙与砖墙（或不同性材料）交接处内外侧挂200宽钢丝网（钢丝网的规格0.5㎜厚，网格12.7mm×12.7mm，宽度为伸入砌体和梁、柱各100mm，用射钉固定，挂网做到平整牢固，密实），抹灰墙面（顶棚）和不抹灰墙面（顶棚）的交接部位粘200mm宽玻纤布，伸入两侧各100mm。
（2）线槽必须使用细石混凝土填实，当线槽铺管≥3根时，抹灰时需要挂钢丝网，网宽槽边外延100mm。</t>
  </si>
  <si>
    <t>外墙面防水界面剂</t>
  </si>
  <si>
    <t>满涂1~3mm厚防水界面剂</t>
  </si>
  <si>
    <t>清理基层、打磨修补、堵墙眼分层涂刷</t>
  </si>
  <si>
    <t>外墙面防水，空调外机搁板</t>
  </si>
  <si>
    <t>1.2mm厚JS－II型聚合物水泥防水涂料</t>
  </si>
  <si>
    <t>外墙面抹灰</t>
  </si>
  <si>
    <t>13mm厚WSM15预拌砂浆打底找平层
7mm厚WSM20预拌砂浆面层压光
混凝土梁、柱、墙与砖墙（或不同性材料）交接处内外侧挂200宽钢丝网（钢丝网的规格0.5㎜厚，网格12.7mm×12.7mm，宽度为伸入砌体和梁、柱各100mm，用射钉固定，挂网做到平整牢固，密实），抹灰墙面（顶棚）和不抹灰墙面（顶棚）的交接部位粘200mm宽玻纤布，伸入两侧各100mm。</t>
  </si>
  <si>
    <t>WSM15预拌砂浆：0.0133M3/m2;DSM20预拌砂浆0.0071m3/m2</t>
  </si>
  <si>
    <t>13mm厚1:3砂浆打底找平层
7mm厚1:2.5砂浆面层压光
混凝土梁、柱、墙与砖墙（或不同性材料）交接处内外侧挂200宽钢丝网（钢丝网的规格0.5㎜厚，网格12.7mm×12.7mm，宽度为伸入砌体和梁、柱各100mm，用射钉固定，挂网做到平整牢固，密实），抹灰墙面（顶棚）和不抹灰墙面（顶棚）的交接部位粘200mm宽玻纤布，伸入两侧各100mm。</t>
  </si>
  <si>
    <t>13mm厚WSM15预拌砂浆打底找平层
混凝土梁、柱、墙与砖墙（或不同性材料）交接处内外侧挂200宽钢丝网（钢丝网的规格0.5㎜厚，网格12.7mm×12.7mm，宽度为伸入砌体和梁、柱各100mm，用射钉固定，挂网做到平整牢固，密实），抹灰墙面（顶棚）和不抹灰墙面（顶棚）的交接部位粘200mm宽玻纤布，伸入两侧各100mm。</t>
  </si>
  <si>
    <t>WSM15预拌砂浆：0.0133M3/m2</t>
  </si>
  <si>
    <t>13mm厚1:3砂浆打底找平层
混凝土梁、柱、墙与砖墙（或不同性材料）交接处内外侧挂200宽钢丝网（钢丝网的规格0.5㎜厚，网格12.7mm×12.7mm，宽度为伸入砌体和梁、柱各100mm，用射钉固定，挂网做到平整牢固，密实），抹灰墙面（顶棚）和不抹灰墙面（顶棚）的交接部位粘200mm宽玻纤布，伸入两侧各100mm。</t>
  </si>
  <si>
    <t>32.5水泥：5.3964kg/m2；河砂：0.0176t/m2；</t>
  </si>
  <si>
    <t>钢丝网</t>
  </si>
  <si>
    <t>钢丝网的规格0.5㎜厚，网格12.7mm×12.7mm</t>
  </si>
  <si>
    <t>钉钢丝（板）网</t>
  </si>
  <si>
    <t>空调百叶内侧涂料</t>
  </si>
  <si>
    <t>1、满刮Y型腻子两遍；
2、面刷无机涂料一遍，颜色同百叶颜色；
3、施工前需先做实体不小于1m*1m样板，经甲方确认后，方可大面积施工；
5、其余具体详招标技术要求及图纸说明；</t>
  </si>
  <si>
    <t>清理基层、修补、门窗框贴胶带防护、洒水湿润、满刮腻子、腻子打磨、清扫落地灰尘、涂刷底漆面漆、成品保护等全部工作内容</t>
  </si>
  <si>
    <t>仅施工腻子涂料</t>
  </si>
  <si>
    <t>涂料顶棚</t>
  </si>
  <si>
    <t>腻子顶棚，住宅部分、商铺、阳台、电梯机房</t>
  </si>
  <si>
    <t>乳胶漆顶棚，公共楼梯（仅洋房）</t>
  </si>
  <si>
    <t>内墙乳胶漆一底两面</t>
  </si>
  <si>
    <t>防水顶棚，所有卫生间、商铺预留卫生间</t>
  </si>
  <si>
    <t>1.2mm厚JS-Ⅱ型聚合物水泥防水涂料满做(防潮层)，分三遍涂刷</t>
  </si>
  <si>
    <t>外墙保温</t>
  </si>
  <si>
    <t>20mm厚 无机保温砂浆（面砖饰面）</t>
  </si>
  <si>
    <t>1、基层墙体局部找补及处理；
2、界面剂
3、中空玻化微珠无机保温砂浆；
4、抹面胶浆和单层热镀锌金属网
5、其他详具体项目技术要求</t>
  </si>
  <si>
    <t>1.基层清理
2.结合层、保温层、抗裂层等的施工
3.锚栓、护墙角以及伸缩缝处理等
4.嵌缝
5.材料运输、二次装运
6.半成品、成品保护
7.试验检测
8.保修等</t>
  </si>
  <si>
    <t>20mm厚 无机保温砂浆（除面砖及涂料外的其他饰面）</t>
  </si>
  <si>
    <t>1、基层墙体局部找补及处理；
2、界面砂浆
3、中空玻化微珠无机保温砂浆
4、抹面胶浆和单层耐碱玻纤网
5、其他详具体项目技术要求</t>
  </si>
  <si>
    <t xml:space="preserve"> 40mm膨胀聚苯板（EPS）/挤塑聚苯板（XPS）外保温构造层次（除面砖外其他饰面）</t>
  </si>
  <si>
    <t>膨胀聚苯板（EPS）/挤塑聚苯板（XPS）保温层；</t>
  </si>
  <si>
    <t>膨胀聚苯板（EPS），容重18-22kg/m³</t>
  </si>
  <si>
    <t>包含以上①项工艺</t>
  </si>
  <si>
    <t>膨胀聚苯板（EPS），容重25-35kg/m³</t>
  </si>
  <si>
    <t>挤塑聚苯板（XPS），容重18-22kg/m³</t>
  </si>
  <si>
    <t>挤塑聚苯板（XPS），容重25-35kg/m³</t>
  </si>
  <si>
    <t xml:space="preserve"> 40mm膨胀聚苯板（EPS）/挤塑聚苯板（XPS）外墙外保温构造层次（面砖外墙）</t>
  </si>
  <si>
    <t>2）膨胀聚苯板（EPS）/挤塑聚苯板（XPS）保温层</t>
  </si>
  <si>
    <t>A级岩棉板，30mm厚（垂直纤维）
容重：100kg/m³</t>
  </si>
  <si>
    <t>1、基层墙体局部找补及处理；
2、固定材料（胶粘剂、锚栓）；
3、A级岩棉板保温层；
4、抹面胶浆和双层耐碱玻纤网；
5、其他详具体项目技术要求</t>
  </si>
  <si>
    <t>A级岩棉板，35mm厚（垂直纤维）
容重：100kg/m³</t>
  </si>
  <si>
    <t>A级岩棉板，40mm厚（垂直纤维）
容重：100kg/m³</t>
  </si>
  <si>
    <t>A级岩棉板，45mm厚（垂直纤维）
容重：100kg/m³</t>
  </si>
  <si>
    <t>A级岩棉板，30mm厚（平行纤维）
容重：140kg/m³</t>
  </si>
  <si>
    <t>A级岩棉板，40mm厚（平行纤维）
容重：140kg/m³</t>
  </si>
  <si>
    <t>1、基层墙体局部找补及处理；
2、固定材料（胶粘剂、锚栓）；
3、A级改性发泡水泥保温板；
4、抹面胶浆和单层热镀锌金属网；
5、其他详具体项目技术要求</t>
  </si>
  <si>
    <t>A级改性发泡水泥板，每增减5mm
容重：251-350kg/m³</t>
  </si>
  <si>
    <t>5mm改性发泡水泥板保温层</t>
  </si>
  <si>
    <t>粘贴保温材料</t>
  </si>
  <si>
    <t xml:space="preserve">每增减5mm膨胀聚苯板（EPS） </t>
  </si>
  <si>
    <t>膨胀聚苯板（EPS）</t>
  </si>
  <si>
    <t>材料厚度增减</t>
  </si>
  <si>
    <t>每增减5mm挤塑聚苯板（XPS）</t>
  </si>
  <si>
    <t>挤塑聚苯板（XPS）</t>
  </si>
  <si>
    <t>每增减5mm岩棉板保温层</t>
  </si>
  <si>
    <t>岩棉板保温层</t>
  </si>
  <si>
    <t>垂直纤维</t>
  </si>
  <si>
    <t>每增减5mm水泥发泡保温板</t>
  </si>
  <si>
    <t>水泥发泡保温板</t>
  </si>
  <si>
    <t>踢脚1：面砖踢脚（粘地砖的楼梯间、公共区域）</t>
  </si>
  <si>
    <t>面砖踢脚</t>
  </si>
  <si>
    <t>清理基层、局部找补、贴面砖、阴阳角调直、打磨</t>
  </si>
  <si>
    <t>踢脚2踢脚3：深色乳胶漆踢脚（不粘地砖的楼梯间）</t>
  </si>
  <si>
    <t>深色乳胶漆两遍</t>
  </si>
  <si>
    <t>清理基层、局部找补、刷底漆面漆、阴阳角调直、打磨</t>
  </si>
  <si>
    <t>深灰色涂料踢脚（室内清水房）</t>
  </si>
  <si>
    <t>100mm高，下翻地面30mm，深灰色涂料两遍</t>
  </si>
  <si>
    <t>变压式排风道</t>
  </si>
  <si>
    <t>详国标02J916-1第4页PQC21</t>
  </si>
  <si>
    <t>含调运砂浆、烟道安装及烟道口抹灰、含止回阀</t>
  </si>
  <si>
    <t>机制烟道500*350*15（含金属止回阀）</t>
  </si>
  <si>
    <t>采用金属止回阀，做法参见图纸</t>
  </si>
  <si>
    <t>含止回阀、制作、安装</t>
  </si>
  <si>
    <t>机制烟帽</t>
  </si>
  <si>
    <t>做法参见图纸</t>
  </si>
  <si>
    <t>爬梯</t>
  </si>
  <si>
    <t>详图SC2006022-T-13/5</t>
  </si>
  <si>
    <t>油管沟花纹钢盖板</t>
  </si>
  <si>
    <t>燃气排气预留孔洞（PVC-φ110）</t>
  </si>
  <si>
    <t>总坪道路基层</t>
  </si>
  <si>
    <t>200厚碎石碾压密实(级配)</t>
  </si>
  <si>
    <t>30厚粗砂层</t>
  </si>
  <si>
    <t>风帽</t>
  </si>
  <si>
    <t>15mm厚DSM15预拌砂浆找平层(适用于非精密化砌块)</t>
  </si>
  <si>
    <t>洞口封堵</t>
  </si>
  <si>
    <t>DN80及以下</t>
  </si>
  <si>
    <t>孔洞封堵</t>
  </si>
  <si>
    <t>详安装</t>
  </si>
  <si>
    <t>DN100</t>
  </si>
  <si>
    <t>DN150</t>
  </si>
  <si>
    <t>DN200</t>
  </si>
  <si>
    <t>斜屋面模板</t>
  </si>
  <si>
    <t>薄壁水泥混凝土加镀锌钢丝网及烟道止回阀安装</t>
  </si>
  <si>
    <t>水电安装清单</t>
  </si>
  <si>
    <t>编码</t>
  </si>
  <si>
    <t>规格型号</t>
  </si>
  <si>
    <t>高层工程量</t>
  </si>
  <si>
    <t>车库工程量</t>
  </si>
  <si>
    <t>高层基准合价（元）</t>
  </si>
  <si>
    <t>高层浮动后合价（元）</t>
  </si>
  <si>
    <t>车库基准合价（元）</t>
  </si>
  <si>
    <t>车库浮动后合价（元）</t>
  </si>
  <si>
    <t>金额（元）</t>
  </si>
  <si>
    <t>主材费</t>
  </si>
  <si>
    <t>施工费</t>
  </si>
  <si>
    <t>税金</t>
  </si>
  <si>
    <t>含税综合单价</t>
  </si>
  <si>
    <t/>
  </si>
  <si>
    <t>E1</t>
  </si>
  <si>
    <t>1</t>
  </si>
  <si>
    <t>一、给排水工程</t>
  </si>
  <si>
    <t>E1.1</t>
  </si>
  <si>
    <t>2</t>
  </si>
  <si>
    <t>1、给水管</t>
  </si>
  <si>
    <t>E1.1.2</t>
  </si>
  <si>
    <t>3</t>
  </si>
  <si>
    <t>PP-R冷水管</t>
  </si>
  <si>
    <t>DN15 1.6MPa</t>
  </si>
  <si>
    <t>安装、消毒、冲洗、试压等；含套管、管件、堵头、刨沟槽 、压槽、抹砂浆； 支架的制作安装等</t>
  </si>
  <si>
    <t>米</t>
  </si>
  <si>
    <t>含金属转换管件</t>
  </si>
  <si>
    <t>E1.1.3</t>
  </si>
  <si>
    <t>DN20 1.6MPa</t>
  </si>
  <si>
    <t>E1.1.4</t>
  </si>
  <si>
    <t>DN25 1.6MPa</t>
  </si>
  <si>
    <t>E1.1.5</t>
  </si>
  <si>
    <t>DN32 1.6MPa</t>
  </si>
  <si>
    <t>E1.1.6</t>
  </si>
  <si>
    <t>DN40 1.6MPa</t>
  </si>
  <si>
    <t>E1.1.7</t>
  </si>
  <si>
    <t>DN50 1.6MPa</t>
  </si>
  <si>
    <t>E1.1.27</t>
  </si>
  <si>
    <t>室外PE100级给水管</t>
  </si>
  <si>
    <t>安装、消毒、冲洗、试压等；含套管、管件、堵头、刨沟槽 、支墩等</t>
  </si>
  <si>
    <t>E1.1.28</t>
  </si>
  <si>
    <t>E1.1.29</t>
  </si>
  <si>
    <t>E1.2</t>
  </si>
  <si>
    <t>2、排水管</t>
  </si>
  <si>
    <t>E1.2.1</t>
  </si>
  <si>
    <t>热镀锌钢管（丝扣连接）</t>
  </si>
  <si>
    <t>DN50</t>
  </si>
  <si>
    <t>E1.2.2</t>
  </si>
  <si>
    <t>DN65</t>
  </si>
  <si>
    <t>E1.2.3</t>
  </si>
  <si>
    <t>DN80</t>
  </si>
  <si>
    <t>E1.2.5</t>
  </si>
  <si>
    <t>热镀锌钢管（卡箍连接）</t>
  </si>
  <si>
    <t>E1.2.7</t>
  </si>
  <si>
    <t>E1.2.8</t>
  </si>
  <si>
    <t>E1.3</t>
  </si>
  <si>
    <t>3、设备</t>
  </si>
  <si>
    <t>E1.3.3</t>
  </si>
  <si>
    <t xml:space="preserve">潜水排污泵  JYWQ80-40-15-1600-4 </t>
  </si>
  <si>
    <t>Q=40T/h,H=15m,N=4.0kw</t>
  </si>
  <si>
    <t>含本体安装、泵拆装检查、软管、浮球开关、液位仪、随泵电缆、配套控制箱等</t>
  </si>
  <si>
    <t>台</t>
  </si>
  <si>
    <t>E1.3.4</t>
  </si>
  <si>
    <t>潜水排污泵  JYWQ50-25-13-1400-2.2</t>
  </si>
  <si>
    <t>Q=25T/h,H=13m,N=2.2kw</t>
  </si>
  <si>
    <t>E1.3.5</t>
  </si>
  <si>
    <t>潜水排污泵  WQ50-15-15-2.2</t>
  </si>
  <si>
    <t>Q=15T/h,H=15m,N=2.2kw</t>
  </si>
  <si>
    <t>E1.3.6</t>
  </si>
  <si>
    <t>潜水排污泵  WQ50-15-22-3</t>
  </si>
  <si>
    <t>Q=15T/h,H=22m,N=3.0kw</t>
  </si>
  <si>
    <t>E1.3.7</t>
  </si>
  <si>
    <t>潜水排污泵  WQ50-25-22-4</t>
  </si>
  <si>
    <t>Q=25T/h,H=22m,N=4.0kw/台</t>
  </si>
  <si>
    <t>E1.3.8</t>
  </si>
  <si>
    <t>潜水排污泵  WQ65-25-15-2.2</t>
  </si>
  <si>
    <t>Q=25T/h,H=15m,N=2.2kw/台</t>
  </si>
  <si>
    <t>E1.3.9</t>
  </si>
  <si>
    <t>潜水排污泵  WQ80-45-15-5.5</t>
  </si>
  <si>
    <t>Q=45T/h,H=15m,N=5.5kw/台</t>
  </si>
  <si>
    <t>E1.3.10</t>
  </si>
  <si>
    <t>潜水排污泵  WQ80-45-22-7.5</t>
  </si>
  <si>
    <t>Q=45T/h,H=22m,N=7.5kw/台</t>
  </si>
  <si>
    <t>E1.4</t>
  </si>
  <si>
    <t>4、套管</t>
  </si>
  <si>
    <t>E1.4.1</t>
  </si>
  <si>
    <t>刚性防水套管</t>
  </si>
  <si>
    <t>≤DN50</t>
  </si>
  <si>
    <t>制作、安装、刷防锈漆等</t>
  </si>
  <si>
    <t>E1.4.2</t>
  </si>
  <si>
    <t>DN75</t>
  </si>
  <si>
    <t>E1.4.3</t>
  </si>
  <si>
    <t>E1.4.4</t>
  </si>
  <si>
    <t>E1.4.5</t>
  </si>
  <si>
    <t>E1.4.6</t>
  </si>
  <si>
    <t>穿墙、梁钢套管</t>
  </si>
  <si>
    <t>DN32</t>
  </si>
  <si>
    <t>不含给排水自身套管</t>
  </si>
  <si>
    <t>E1.4.7</t>
  </si>
  <si>
    <t>E1.4.8</t>
  </si>
  <si>
    <t>E1.4.9</t>
  </si>
  <si>
    <t>E1.4.10</t>
  </si>
  <si>
    <t>DN125</t>
  </si>
  <si>
    <t>E1.4.11</t>
  </si>
  <si>
    <t>柔性防水套管</t>
  </si>
  <si>
    <t>E1.4.12</t>
  </si>
  <si>
    <t>E1.4.13</t>
  </si>
  <si>
    <t>E1.5</t>
  </si>
  <si>
    <t>5、管道附件</t>
  </si>
  <si>
    <t>E1.5.10</t>
  </si>
  <si>
    <t xml:space="preserve">自动排气阀 </t>
  </si>
  <si>
    <t>DN20</t>
  </si>
  <si>
    <t>本体安装（含法兰安装）、压力试验等</t>
  </si>
  <si>
    <t>E1.5.43</t>
  </si>
  <si>
    <t>铜截止阀</t>
  </si>
  <si>
    <t>DN15</t>
  </si>
  <si>
    <t>补项</t>
  </si>
  <si>
    <t>E1.5.44</t>
  </si>
  <si>
    <t>减压阀</t>
  </si>
  <si>
    <t>DN25</t>
  </si>
  <si>
    <t xml:space="preserve">清洁长柄龙头 </t>
  </si>
  <si>
    <t>本体安装、压力试验等</t>
  </si>
  <si>
    <t>E1.5.45</t>
  </si>
  <si>
    <t>压力表</t>
  </si>
  <si>
    <t>取源部件安装；压力表弯制作、刷油、安装；挠性管安装；本体及表前阀门安装； 单体校验调整；支架制作安装刷油等</t>
  </si>
  <si>
    <t>E1.5.55</t>
  </si>
  <si>
    <t xml:space="preserve">无水封直通式地漏安装   </t>
  </si>
  <si>
    <t>本体安装、与下水管连接、试水等</t>
  </si>
  <si>
    <t>E1.5.56</t>
  </si>
  <si>
    <t>E1.5.57</t>
  </si>
  <si>
    <t>E1.5.58</t>
  </si>
  <si>
    <t xml:space="preserve">侧排地漏安装   </t>
  </si>
  <si>
    <t>E1.5.59</t>
  </si>
  <si>
    <t>E1.5.60</t>
  </si>
  <si>
    <t>E1.5.61</t>
  </si>
  <si>
    <t>扫除口</t>
  </si>
  <si>
    <t>E1.5.62</t>
  </si>
  <si>
    <t>E1.6</t>
  </si>
  <si>
    <t>6、其它</t>
  </si>
  <si>
    <t>E2</t>
  </si>
  <si>
    <t>二、电气工程</t>
  </si>
  <si>
    <t>E2.1</t>
  </si>
  <si>
    <t>1、配管</t>
  </si>
  <si>
    <t>E2.1.1</t>
  </si>
  <si>
    <t>砖、混凝土结构明配  套接紧定式钢管</t>
  </si>
  <si>
    <t>Φ16 壁厚1.2mm</t>
  </si>
  <si>
    <t>支架制作、安装；管路敷设(含管件)；穿引线；防腐油漆；接地等</t>
  </si>
  <si>
    <t>E2.1.2</t>
  </si>
  <si>
    <t>Φ20 壁厚1.2mm</t>
  </si>
  <si>
    <t>E2.1.3</t>
  </si>
  <si>
    <t>Φ25 壁厚1.2mm</t>
  </si>
  <si>
    <t>E2.1.4</t>
  </si>
  <si>
    <t>Φ32 壁厚1.2mm</t>
  </si>
  <si>
    <t>E2.1.5</t>
  </si>
  <si>
    <t>砖、混凝土结构暗配  套接紧定式钢管</t>
  </si>
  <si>
    <t>刨沟槽；管路敷设(含管件)；抹砂浆；穿引线；防腐油漆；接地等</t>
  </si>
  <si>
    <t>E2.1.6</t>
  </si>
  <si>
    <t>Φ20 壁厚1.6mm</t>
  </si>
  <si>
    <t>E2.1.7</t>
  </si>
  <si>
    <t>Φ25 壁厚1.6mm</t>
  </si>
  <si>
    <t>E2.1.8</t>
  </si>
  <si>
    <t>Φ32 壁厚1.6mm</t>
  </si>
  <si>
    <t>E2.1.20</t>
  </si>
  <si>
    <t>砖混凝土结构暗配      阻燃管</t>
  </si>
  <si>
    <t>PC20</t>
  </si>
  <si>
    <t>刨沟槽；管路敷设(含管件)；抹砂浆；穿引线等</t>
  </si>
  <si>
    <t>E2.1.21</t>
  </si>
  <si>
    <t>PC25</t>
  </si>
  <si>
    <t>E2.1.22</t>
  </si>
  <si>
    <t>PC32</t>
  </si>
  <si>
    <t>E2.1.23</t>
  </si>
  <si>
    <t>PC40</t>
  </si>
  <si>
    <t>E2.1.24</t>
  </si>
  <si>
    <t>PC50</t>
  </si>
  <si>
    <t>E2.1.25</t>
  </si>
  <si>
    <t>覆塑金属软管敷设</t>
  </si>
  <si>
    <t>≤DN20</t>
  </si>
  <si>
    <t>量尺寸、段管、连接接头（含相匹配的专用连接卡子）、钻眼、攻丝、固定等</t>
  </si>
  <si>
    <t>E2.1.26</t>
  </si>
  <si>
    <t>E2.1.27</t>
  </si>
  <si>
    <t xml:space="preserve">埋地暗设 碳素波纹管 </t>
  </si>
  <si>
    <t>刨沟槽；管路敷设(含管件)；含挖填土方；穿引线等</t>
  </si>
  <si>
    <t>工作内容写明了包含了土方的挖填</t>
  </si>
  <si>
    <t>E2.1.28</t>
  </si>
  <si>
    <t>E2.1.29</t>
  </si>
  <si>
    <t>E2.1.30</t>
  </si>
  <si>
    <t>E2.1.31</t>
  </si>
  <si>
    <t>E2.1.32</t>
  </si>
  <si>
    <t>暗装  塑料开关盒、插座盒、接线盒</t>
  </si>
  <si>
    <t>86SH50</t>
  </si>
  <si>
    <t>测位、修孔、固定等</t>
  </si>
  <si>
    <t>E2.1.33</t>
  </si>
  <si>
    <t>明装  钢质开关盒、插座盒、接线盒</t>
  </si>
  <si>
    <t>E2.1.34</t>
  </si>
  <si>
    <t>暗装  钢质开关盒、插座盒、接线盒</t>
  </si>
  <si>
    <t>E2.1.35</t>
  </si>
  <si>
    <t>灯头盒</t>
  </si>
  <si>
    <t>E2.2</t>
  </si>
  <si>
    <t>2、配线</t>
  </si>
  <si>
    <t>E2.2.1</t>
  </si>
  <si>
    <t xml:space="preserve">线槽配线、管内穿线 </t>
  </si>
  <si>
    <t>BV-2.5mm2</t>
  </si>
  <si>
    <t>含双色线、配线、编号、接焊包头等</t>
  </si>
  <si>
    <t>E2.2.2</t>
  </si>
  <si>
    <t>BV-4mm2</t>
  </si>
  <si>
    <t>E2.2.3</t>
  </si>
  <si>
    <t>BV-6mm2</t>
  </si>
  <si>
    <t>E2.2.4</t>
  </si>
  <si>
    <t>BV-10mm2</t>
  </si>
  <si>
    <t>E2.2.5</t>
  </si>
  <si>
    <t>BV-16mm2</t>
  </si>
  <si>
    <t>E2.2.6</t>
  </si>
  <si>
    <t>BV-25mm2</t>
  </si>
  <si>
    <t>E2.2.7</t>
  </si>
  <si>
    <t>NH-BV-2.5mm2</t>
  </si>
  <si>
    <t>E2.2.8</t>
  </si>
  <si>
    <t>NH-BV-4mm2</t>
  </si>
  <si>
    <t>E2.2.9</t>
  </si>
  <si>
    <t>NH-BV-6mm2</t>
  </si>
  <si>
    <t>E2.2.10</t>
  </si>
  <si>
    <t>NH-BV-10mm2</t>
  </si>
  <si>
    <t>E2.2.12</t>
  </si>
  <si>
    <t>ZR-BV-2.5mm2</t>
  </si>
  <si>
    <t>E2.2.13</t>
  </si>
  <si>
    <t>ZR-BV-4mm2</t>
  </si>
  <si>
    <t>E2.2.14</t>
  </si>
  <si>
    <t>ZR-BV-10mm2</t>
  </si>
  <si>
    <t>E2.2.15</t>
  </si>
  <si>
    <t>ZR-BV-16mm2</t>
  </si>
  <si>
    <t>E2.2.16</t>
  </si>
  <si>
    <t>ZR-BV-25mm2</t>
  </si>
  <si>
    <t>E2.2.29</t>
  </si>
  <si>
    <t>WDZ-BYJ-2.5mm2</t>
  </si>
  <si>
    <t>E2.2.30</t>
  </si>
  <si>
    <t>WDZ-BYJ-4mm2</t>
  </si>
  <si>
    <t>E2.2.31</t>
  </si>
  <si>
    <t>WDZ-BYJ-6mm2</t>
  </si>
  <si>
    <t>E2.2.32</t>
  </si>
  <si>
    <t>WDZ-BYJ-10mm2</t>
  </si>
  <si>
    <t>E2.2.33</t>
  </si>
  <si>
    <t>WDZ-BYJ-16mm2</t>
  </si>
  <si>
    <t>E2.2.35</t>
  </si>
  <si>
    <t>WDZN-BYJ-2.5mm2</t>
  </si>
  <si>
    <t>E2.2.36</t>
  </si>
  <si>
    <t>WDZN-BYJ-4mm2</t>
  </si>
  <si>
    <t>E2.2.37</t>
  </si>
  <si>
    <t>WDZN-BYJ-6mm2</t>
  </si>
  <si>
    <t>E2.2.38</t>
  </si>
  <si>
    <t>WDZN-BYJ-10mm2</t>
  </si>
  <si>
    <t>E2.2.39</t>
  </si>
  <si>
    <t>WDZN-BYJ-16mm2</t>
  </si>
  <si>
    <t>E2.2.41</t>
  </si>
  <si>
    <t>BVR-2.5mm2</t>
  </si>
  <si>
    <t>E2.3</t>
  </si>
  <si>
    <t>3、灯具</t>
  </si>
  <si>
    <t>E2.3.1</t>
  </si>
  <si>
    <t xml:space="preserve">座灯头 </t>
  </si>
  <si>
    <t>13W节能灯</t>
  </si>
  <si>
    <t>灯具安装；含光源等</t>
  </si>
  <si>
    <t>套</t>
  </si>
  <si>
    <t>E2.3.2</t>
  </si>
  <si>
    <t>应急疏散指示标识灯</t>
  </si>
  <si>
    <t>1*2W</t>
  </si>
  <si>
    <t xml:space="preserve">安装；含光源、金属软管等,安装方式综合考虑                  
</t>
  </si>
  <si>
    <t>E2.3.3</t>
  </si>
  <si>
    <t>双向应急疏散指示标志</t>
  </si>
  <si>
    <t>E2.3.5</t>
  </si>
  <si>
    <t>疏散出口标志灯</t>
  </si>
  <si>
    <t>E2.3.6</t>
  </si>
  <si>
    <t>应急吸顶灯</t>
  </si>
  <si>
    <t>1x5W，LED光源 自带红外感应控制和消防强启功能，自带蓄电池</t>
  </si>
  <si>
    <t xml:space="preserve">安装；含光源、金属软管等,安装方式综合考虑 </t>
  </si>
  <si>
    <t>E2.3.7</t>
  </si>
  <si>
    <t>LED筒灯</t>
  </si>
  <si>
    <t>4寸 3W LED芯片</t>
  </si>
  <si>
    <t xml:space="preserve">安装；含光源、金属软管等,安装方式综合考虑                                
</t>
  </si>
  <si>
    <t>E2.3.8</t>
  </si>
  <si>
    <t>应急LED筒灯</t>
  </si>
  <si>
    <t>4寸 3W LED芯片 自带红外感应控制和消防强启功能，LED光源自带蓄电池</t>
  </si>
  <si>
    <t>E2.3.9</t>
  </si>
  <si>
    <t>水井，电井灯</t>
  </si>
  <si>
    <t>1*13W 节能灯</t>
  </si>
  <si>
    <t>E2.3.10</t>
  </si>
  <si>
    <t>应急单管荧光灯</t>
  </si>
  <si>
    <t>LED 1×12W 220V 自带红外感应控制和消防强启功能，LED光源，带高低双亮度功能，自来蓄电池</t>
  </si>
  <si>
    <t>E2.3.11</t>
  </si>
  <si>
    <t>应急双管荧光灯</t>
  </si>
  <si>
    <t>LED 2×12W 220V 自带红外感应控制和消防强启功能，LED光源，带高低双亮度功能，自来蓄电池</t>
  </si>
  <si>
    <t>E2.3.12</t>
  </si>
  <si>
    <t>红外感应应急照明LED灯</t>
  </si>
  <si>
    <t>3W 自带蓄电池</t>
  </si>
  <si>
    <t>E2.3.13</t>
  </si>
  <si>
    <t>防水防尘密闭型筒灯</t>
  </si>
  <si>
    <t>1*13W</t>
  </si>
  <si>
    <t>E2.3.14</t>
  </si>
  <si>
    <t>航空障碍灯</t>
  </si>
  <si>
    <t>氙灯或LED，寿命大于10万小时；灯光颜色：红色；闪光频率20-30次/分，可调</t>
  </si>
  <si>
    <t xml:space="preserve">支架制作、安装；含光源、调试,安装方式综合考虑              </t>
  </si>
  <si>
    <t>E2.3.20</t>
  </si>
  <si>
    <t>壁装单管荧光灯</t>
  </si>
  <si>
    <t>LED 1×12W 220V</t>
  </si>
  <si>
    <t>E2.3.21</t>
  </si>
  <si>
    <t>壁装单管防水防尘荧光灯（车库）</t>
  </si>
  <si>
    <t>E2.3.22</t>
  </si>
  <si>
    <t>双管荧光灯</t>
  </si>
  <si>
    <t>LED 2×12W 220V</t>
  </si>
  <si>
    <t>E2.3.24</t>
  </si>
  <si>
    <t>防水防尘灯</t>
  </si>
  <si>
    <t>36W 配节能型光源</t>
  </si>
  <si>
    <t>E2.3.25</t>
  </si>
  <si>
    <t>消防应急照明灯</t>
  </si>
  <si>
    <t>5W LED，配蓄电池、玻璃护罩</t>
  </si>
  <si>
    <t>E2.3.26</t>
  </si>
  <si>
    <t>消防应急照明双头灯</t>
  </si>
  <si>
    <t>E2.3.27</t>
  </si>
  <si>
    <t>应急照明灯（带声光控开关）</t>
  </si>
  <si>
    <t>LED 1x5W 220V 自带蓄电池</t>
  </si>
  <si>
    <t>E2.3.28</t>
  </si>
  <si>
    <t>应急照明灯（声光控，带消防触点）</t>
  </si>
  <si>
    <t>LED 1×5W 220V 自带蓄电池</t>
  </si>
  <si>
    <t>E2.4</t>
  </si>
  <si>
    <t>4、开关、插座</t>
  </si>
  <si>
    <t>E2.4.1</t>
  </si>
  <si>
    <t>暗开关(单控)单联</t>
  </si>
  <si>
    <t>250V 10A</t>
  </si>
  <si>
    <t xml:space="preserve">安装、接线、装盖、焊压端子等                                     </t>
  </si>
  <si>
    <t>E2.4.2</t>
  </si>
  <si>
    <t>暗开关(单控)双联</t>
  </si>
  <si>
    <t>E2.4.3</t>
  </si>
  <si>
    <t>暗开关(单控)三联</t>
  </si>
  <si>
    <t>E2.4.4</t>
  </si>
  <si>
    <t>暗开关(单控)四联</t>
  </si>
  <si>
    <t>E2.4.5</t>
  </si>
  <si>
    <t>暗开关(双控)单联</t>
  </si>
  <si>
    <t>E2.4.6</t>
  </si>
  <si>
    <t>暗开关(双控)双联</t>
  </si>
  <si>
    <t>E2.4.7</t>
  </si>
  <si>
    <t>红外感应开关</t>
  </si>
  <si>
    <t>E2.4.10</t>
  </si>
  <si>
    <t xml:space="preserve">三孔插座 </t>
  </si>
  <si>
    <t>250V 16A  3孔</t>
  </si>
  <si>
    <t xml:space="preserve">测位、安装、接线、装盖、焊压端子等                                     </t>
  </si>
  <si>
    <t>E2.4.11</t>
  </si>
  <si>
    <t xml:space="preserve">五孔插座 </t>
  </si>
  <si>
    <t>250V 10A  3+2孔</t>
  </si>
  <si>
    <t>E2.4.12</t>
  </si>
  <si>
    <t xml:space="preserve">三孔防溅插座 </t>
  </si>
  <si>
    <t>250V 10A  3孔防溅</t>
  </si>
  <si>
    <t>E2.4.14</t>
  </si>
  <si>
    <t>三孔带开关防溅插座</t>
  </si>
  <si>
    <t>250V 10A  3孔带开关防溅</t>
  </si>
  <si>
    <t>E2.4.15</t>
  </si>
  <si>
    <t xml:space="preserve">五孔防溅插座 </t>
  </si>
  <si>
    <t>250V 10A  3+2孔防溅</t>
  </si>
  <si>
    <t>E2.4.16</t>
  </si>
  <si>
    <t>空白面板</t>
  </si>
  <si>
    <t>86型</t>
  </si>
  <si>
    <t>E2.5</t>
  </si>
  <si>
    <t>5、防雷接地</t>
  </si>
  <si>
    <t>E2.5.1</t>
  </si>
  <si>
    <t>避雷装置:引下线与避雷网、基础钢筋焊接</t>
  </si>
  <si>
    <t>焊接</t>
  </si>
  <si>
    <t>处</t>
  </si>
  <si>
    <t>E2.5.2</t>
  </si>
  <si>
    <t>户内接地母线敷设 镀锌扁钢</t>
  </si>
  <si>
    <t>-25x4</t>
  </si>
  <si>
    <t>敷设、焊接</t>
  </si>
  <si>
    <t>E2.5.3</t>
  </si>
  <si>
    <t>-40x4</t>
  </si>
  <si>
    <t>E2.5.4</t>
  </si>
  <si>
    <t>户外接地母线敷设 镀锌扁钢</t>
  </si>
  <si>
    <t>敷设、焊接、土方挖填</t>
  </si>
  <si>
    <t>E2.5.5</t>
  </si>
  <si>
    <t>户外接地母线敷设 镀锌圆钢</t>
  </si>
  <si>
    <t>φ12</t>
  </si>
  <si>
    <t>E2.5.6</t>
  </si>
  <si>
    <t>屋面避雷带 镀锌圆钢</t>
  </si>
  <si>
    <t>含固定、焊接、刷漆、避雷针等</t>
  </si>
  <si>
    <t>E2.5.7</t>
  </si>
  <si>
    <t>φ10</t>
  </si>
  <si>
    <t>E2.5.8</t>
  </si>
  <si>
    <t>均压环敷设利用圈梁钢筋</t>
  </si>
  <si>
    <t>焊接、固定</t>
  </si>
  <si>
    <t>E2.5.9</t>
  </si>
  <si>
    <t>避雷引下线敷设 利用建筑物主筋引下</t>
  </si>
  <si>
    <t>2根</t>
  </si>
  <si>
    <t>E2.5.10</t>
  </si>
  <si>
    <t>4根</t>
  </si>
  <si>
    <t>E2.5.11</t>
  </si>
  <si>
    <t>接地装置制作、安装利用独立桩基础钢筋做联合接地体</t>
  </si>
  <si>
    <t>E2.5.12</t>
  </si>
  <si>
    <t>接地装置制作、安装接地连接板</t>
  </si>
  <si>
    <t>-100*100*10</t>
  </si>
  <si>
    <t>E2.5.13</t>
  </si>
  <si>
    <t xml:space="preserve">暗装接地检测点 </t>
  </si>
  <si>
    <t>E2.5.14</t>
  </si>
  <si>
    <t>接地网调试</t>
  </si>
  <si>
    <t>调试</t>
  </si>
  <si>
    <t>系统</t>
  </si>
  <si>
    <t>E2.5.15</t>
  </si>
  <si>
    <t>防雷检测费</t>
  </si>
  <si>
    <t>检测</t>
  </si>
  <si>
    <t>包含防雷检测所有费用</t>
  </si>
  <si>
    <t>E2.6</t>
  </si>
  <si>
    <t>6、桥架</t>
  </si>
  <si>
    <t>E2.6.1</t>
  </si>
  <si>
    <t xml:space="preserve">桥架(节能轻质高强型)敷设 </t>
  </si>
  <si>
    <t xml:space="preserve">50×50 </t>
  </si>
  <si>
    <t xml:space="preserve">组对、螺栓固定、附件、支架制作安装、预留孔洞、防火堵洞、穿越人防墙的防护密闭、开孔、刷防火涂料、接地跨接线安装等 </t>
  </si>
  <si>
    <t>E2.6.2</t>
  </si>
  <si>
    <t>100×50</t>
  </si>
  <si>
    <t>E2.6.3</t>
  </si>
  <si>
    <t>100×75</t>
  </si>
  <si>
    <t>E2.6.4</t>
  </si>
  <si>
    <t>100×100</t>
  </si>
  <si>
    <t>E2.6.5</t>
  </si>
  <si>
    <t>150×75</t>
  </si>
  <si>
    <t>E2.6.6</t>
  </si>
  <si>
    <t>150×100</t>
  </si>
  <si>
    <t>E2.6.7</t>
  </si>
  <si>
    <t>200×100</t>
  </si>
  <si>
    <t>E2.6.8</t>
  </si>
  <si>
    <t>200×150</t>
  </si>
  <si>
    <t>E2.6.9</t>
  </si>
  <si>
    <t>300×100</t>
  </si>
  <si>
    <t>E2.6.10</t>
  </si>
  <si>
    <t>300×150</t>
  </si>
  <si>
    <t>E2.6.11</t>
  </si>
  <si>
    <t>300×200</t>
  </si>
  <si>
    <t>E2.6.12</t>
  </si>
  <si>
    <t>400×100</t>
  </si>
  <si>
    <t>E2.6.13</t>
  </si>
  <si>
    <t>400×150</t>
  </si>
  <si>
    <t>E2.6.14</t>
  </si>
  <si>
    <t>400×200</t>
  </si>
  <si>
    <t>E2.6.15</t>
  </si>
  <si>
    <t>500×100</t>
  </si>
  <si>
    <t>E2.6.16</t>
  </si>
  <si>
    <t>500×150</t>
  </si>
  <si>
    <t>E2.6.17</t>
  </si>
  <si>
    <t>500×200</t>
  </si>
  <si>
    <t>E2.6.18</t>
  </si>
  <si>
    <t>600×100</t>
  </si>
  <si>
    <t>E2.6.19</t>
  </si>
  <si>
    <t>600×150</t>
  </si>
  <si>
    <t>E2.6.20</t>
  </si>
  <si>
    <t>600×200</t>
  </si>
  <si>
    <t>E2.6.21</t>
  </si>
  <si>
    <t>800×150</t>
  </si>
  <si>
    <t>E2.6.22</t>
  </si>
  <si>
    <t>800×200</t>
  </si>
  <si>
    <t>E2.6.23</t>
  </si>
  <si>
    <t>高压电缆专用防火槽式桥架敷设</t>
  </si>
  <si>
    <t>E2.6.24</t>
  </si>
  <si>
    <t>E2.6.25</t>
  </si>
  <si>
    <t>E2.6.26</t>
  </si>
  <si>
    <t>E2.6.27</t>
  </si>
  <si>
    <t>E2.7</t>
  </si>
  <si>
    <t>7、其它</t>
  </si>
  <si>
    <t>E2.7.1</t>
  </si>
  <si>
    <t>成套配电箱安装 落地式</t>
  </si>
  <si>
    <t>开箱、检查、安装、箱体开孔、端子板外部接线、接地、焊压接线端子、补刷油漆、标识、基础槽钢制作安装（箱内电器元件详施工图及技术要求）等</t>
  </si>
  <si>
    <t>材料乙供，按实际配电箱系统设计核价</t>
  </si>
  <si>
    <t>E2.7.2</t>
  </si>
  <si>
    <t>成套配电箱安装 悬挂、嵌入式半周长1.0m以内</t>
  </si>
  <si>
    <t>开箱、检查、安装、箱体开孔、端子板外部接线、接地、焊压接线端子、补刷油漆、标识、支架制作安装（箱内电器元件详施工图及技术要求）等</t>
  </si>
  <si>
    <t>E2.7.3</t>
  </si>
  <si>
    <t>成套配电箱安装 悬挂、嵌入式半周长1.5m以内</t>
  </si>
  <si>
    <t>E2.7.4</t>
  </si>
  <si>
    <t>成套配电箱安装 悬挂、嵌入式半周长1.5m以上</t>
  </si>
  <si>
    <t>E2.7.5</t>
  </si>
  <si>
    <t>总等电位箱（MEB）</t>
  </si>
  <si>
    <t>安装、端子板外部接线等</t>
  </si>
  <si>
    <t>E2.7.6</t>
  </si>
  <si>
    <t>局部等电位箱（LEB）</t>
  </si>
  <si>
    <t>E2.7.7</t>
  </si>
  <si>
    <t xml:space="preserve">铜芯电缆敷设 四芯 电缆截面 </t>
  </si>
  <si>
    <t>10mm2以下</t>
  </si>
  <si>
    <t>电缆敷设、固定、支架制安、挂牌（含竖井内敷设）；防火堵洞；电缆防火隔板等</t>
  </si>
  <si>
    <t>材料乙供，电缆采购按实际规格核价</t>
  </si>
  <si>
    <t>E2.7.8</t>
  </si>
  <si>
    <t>35mm2以下</t>
  </si>
  <si>
    <t>E2.7.9</t>
  </si>
  <si>
    <t>120mm2以下</t>
  </si>
  <si>
    <t>E2.7.10</t>
  </si>
  <si>
    <t>240mm2以下</t>
  </si>
  <si>
    <t>E2.7.11</t>
  </si>
  <si>
    <t>400mm2以下</t>
  </si>
  <si>
    <t>E2.7.12</t>
  </si>
  <si>
    <t xml:space="preserve">铜芯电缆敷设 五芯 电缆截面  </t>
  </si>
  <si>
    <t>E2.7.13</t>
  </si>
  <si>
    <t>E2.7.14</t>
  </si>
  <si>
    <t>E2.7.15</t>
  </si>
  <si>
    <t>E2.7.16</t>
  </si>
  <si>
    <t>E2.7.18</t>
  </si>
  <si>
    <t>铜芯电力电缆头制安 四芯 终端头1kV以下截面35mm2以下</t>
  </si>
  <si>
    <t>电缆头制作、安装等</t>
  </si>
  <si>
    <t>E2.7.19</t>
  </si>
  <si>
    <t>铜芯电力电缆头制安 四芯 终端头1kV以下截面120mm2以下</t>
  </si>
  <si>
    <t>E2.7.20</t>
  </si>
  <si>
    <t>铜芯电力电缆头制安 四芯 终端头1kV以下截面  240mm2以下</t>
  </si>
  <si>
    <t xml:space="preserve"> 240mm2以下</t>
  </si>
  <si>
    <t>E2.7.21</t>
  </si>
  <si>
    <t>铜芯电力电缆头制安 四芯 终端头1kV以下截面  400mm2以下</t>
  </si>
  <si>
    <t>E2.7.22</t>
  </si>
  <si>
    <t>铜芯电力电缆头制安 五芯 终端头1kV以下截面10mm2以下</t>
  </si>
  <si>
    <t>E2.7.23</t>
  </si>
  <si>
    <t>铜芯电力电缆头制安 五芯 终端头1kV以下截面  35mm2以下</t>
  </si>
  <si>
    <t>E2.7.24</t>
  </si>
  <si>
    <t>铜芯电力电缆头制安 五芯 终端头1kV以下截面120mm2以下</t>
  </si>
  <si>
    <t>E2.7.25</t>
  </si>
  <si>
    <t>铜芯电力电缆头制安 五芯 终端头1kV以下截面  240mm2以下</t>
  </si>
  <si>
    <t>E2.7.26</t>
  </si>
  <si>
    <t>铜芯电力电缆头制安 五芯 终端头1kV以下截面  400mm2以下</t>
  </si>
  <si>
    <t>E2.7.46</t>
  </si>
  <si>
    <t>绝缘穿刺线夹</t>
  </si>
  <si>
    <t>TTD281FJ 10/6</t>
  </si>
  <si>
    <t>制作、安装等</t>
  </si>
  <si>
    <t>E2.7.47</t>
  </si>
  <si>
    <t>TTD281FJ 16/10</t>
  </si>
  <si>
    <t>E2.7.48</t>
  </si>
  <si>
    <t>TTD401FJ 185/50</t>
  </si>
  <si>
    <t>E3</t>
  </si>
  <si>
    <t>三、弱电工程</t>
  </si>
  <si>
    <t>E3.1</t>
  </si>
  <si>
    <t xml:space="preserve">1、配管 </t>
  </si>
  <si>
    <t>E3.1.6</t>
  </si>
  <si>
    <t>砖混凝土结构暗配      刚性阻燃管</t>
  </si>
  <si>
    <t>刨沟槽；管路敷设(含管件)； 穿引线等</t>
  </si>
  <si>
    <t>E3.1.7</t>
  </si>
  <si>
    <t>E3.1.8</t>
  </si>
  <si>
    <t>E3.1.9</t>
  </si>
  <si>
    <t>E3.1.10</t>
  </si>
  <si>
    <t>E3.1.11</t>
  </si>
  <si>
    <t>刨沟槽；管路敷设(含管件)； 穿引线；防腐油漆；接地等</t>
  </si>
  <si>
    <t>E3.1.12</t>
  </si>
  <si>
    <t>E3.1.13</t>
  </si>
  <si>
    <t>Φ40 壁厚1.6mm</t>
  </si>
  <si>
    <t>E3.1.14</t>
  </si>
  <si>
    <t>暗装  塑料开关盒、插座盒</t>
  </si>
  <si>
    <t>E3.1.15</t>
  </si>
  <si>
    <t>暗装  钢制开关盒、插座盒</t>
  </si>
  <si>
    <t>E3.2</t>
  </si>
  <si>
    <t>2、桥架（含火警封闭式金属桥架）</t>
  </si>
  <si>
    <t>E3.2.1</t>
  </si>
  <si>
    <t>E3.2.2</t>
  </si>
  <si>
    <t>E3.2.3</t>
  </si>
  <si>
    <t>E3.2.4</t>
  </si>
  <si>
    <t>E3.2.5</t>
  </si>
  <si>
    <t>E3.2.6</t>
  </si>
  <si>
    <t>E3.2.7</t>
  </si>
  <si>
    <t>E3.2.8</t>
  </si>
  <si>
    <t>E3.2.9</t>
  </si>
  <si>
    <t>E3.2.10</t>
  </si>
  <si>
    <t>E3.2.11</t>
  </si>
  <si>
    <t>E3.2.12</t>
  </si>
  <si>
    <t>E3.2.13</t>
  </si>
  <si>
    <t>E3.2.14</t>
  </si>
  <si>
    <t>E3.2.15</t>
  </si>
  <si>
    <t>E3.2.16</t>
  </si>
  <si>
    <t>E3.2.17</t>
  </si>
  <si>
    <t>E3.2.18</t>
  </si>
  <si>
    <t>E3.2.19</t>
  </si>
  <si>
    <t>E3.2.20</t>
  </si>
  <si>
    <t>E3.2.21</t>
  </si>
  <si>
    <t>E3.2.22</t>
  </si>
  <si>
    <t>E3.2.23</t>
  </si>
  <si>
    <t>防火桥架敷设</t>
  </si>
  <si>
    <t>E3.2.24</t>
  </si>
  <si>
    <t>E3.2.25</t>
  </si>
  <si>
    <t>E3.2.26</t>
  </si>
  <si>
    <t>E3.2.27</t>
  </si>
  <si>
    <t>E3.2.28</t>
  </si>
  <si>
    <t>E3.2.29</t>
  </si>
  <si>
    <t>E3.2.30</t>
  </si>
  <si>
    <t>E3.2.31</t>
  </si>
  <si>
    <t>E3.2.32</t>
  </si>
  <si>
    <t>E3.2.33</t>
  </si>
  <si>
    <t>E3.2.34</t>
  </si>
  <si>
    <t>E3.2.35</t>
  </si>
  <si>
    <t>E3.2.36</t>
  </si>
  <si>
    <t>E3.2.37</t>
  </si>
  <si>
    <t>E3.2.38</t>
  </si>
  <si>
    <t>E3.2.39</t>
  </si>
  <si>
    <t>E3.2.40</t>
  </si>
  <si>
    <t>E3.2.41</t>
  </si>
  <si>
    <t>E3.2.42</t>
  </si>
  <si>
    <t>E3.2.43</t>
  </si>
  <si>
    <t>E3.2.44</t>
  </si>
  <si>
    <t>E4</t>
  </si>
  <si>
    <t>四、人防电气</t>
  </si>
  <si>
    <t>E4.1</t>
  </si>
  <si>
    <t>E4.7</t>
  </si>
  <si>
    <t>E5.2</t>
  </si>
  <si>
    <t>E5.2.16</t>
  </si>
  <si>
    <t>防爆波地漏安装</t>
  </si>
  <si>
    <t>本体安装等</t>
  </si>
  <si>
    <t>人防单位提供</t>
  </si>
  <si>
    <t>E5</t>
  </si>
  <si>
    <t>E5.3</t>
  </si>
  <si>
    <t>E6.1</t>
  </si>
  <si>
    <t>E6.1.7</t>
  </si>
  <si>
    <t>E6.1.8</t>
  </si>
  <si>
    <t>E6.1.9</t>
  </si>
  <si>
    <t>E6.1.10</t>
  </si>
  <si>
    <t>E6.1.11</t>
  </si>
  <si>
    <t>砖混凝土结构暗配 刚性阻燃管</t>
  </si>
  <si>
    <t>E6.1.12</t>
  </si>
  <si>
    <t>E6.1.13</t>
  </si>
  <si>
    <t>E6.1.14</t>
  </si>
  <si>
    <t>E6.1.15</t>
  </si>
  <si>
    <t>E6.1.16</t>
  </si>
  <si>
    <t>E6</t>
  </si>
  <si>
    <t>E6.2</t>
  </si>
  <si>
    <t>2、套管及其它</t>
  </si>
  <si>
    <t>E6.2.1</t>
  </si>
  <si>
    <t>E6.2.2</t>
  </si>
  <si>
    <t>E6.2.3</t>
  </si>
  <si>
    <t>E6.2.4</t>
  </si>
  <si>
    <t>E6.2.5</t>
  </si>
  <si>
    <t>E6.2.6</t>
  </si>
  <si>
    <t>DN250</t>
  </si>
  <si>
    <t>E6.2.7</t>
  </si>
  <si>
    <t>穿剪力墙、砼梁钢套管</t>
  </si>
  <si>
    <t>E6.2.8</t>
  </si>
  <si>
    <t>E6.2.9</t>
  </si>
  <si>
    <t>E6.2.10</t>
  </si>
  <si>
    <t>E6.2.11</t>
  </si>
  <si>
    <t>楼板预留洞</t>
  </si>
  <si>
    <t>孔洞预留</t>
  </si>
  <si>
    <t>E6.2.12</t>
  </si>
  <si>
    <t>E6.2.13</t>
  </si>
  <si>
    <t>E6.2.14</t>
  </si>
  <si>
    <t>E6.2.15</t>
  </si>
  <si>
    <t>楼板预留洞封堵</t>
  </si>
  <si>
    <t>E6.2.16</t>
  </si>
  <si>
    <t>E6.2.17</t>
  </si>
  <si>
    <t>E6.2.18</t>
  </si>
  <si>
    <t>增补清单</t>
  </si>
  <si>
    <t>D1</t>
  </si>
  <si>
    <t>一、户内给排水工程</t>
  </si>
  <si>
    <t>D1.1</t>
  </si>
  <si>
    <t>D1.1.7</t>
  </si>
  <si>
    <t>D1.1.8</t>
  </si>
  <si>
    <t>D1.1.9</t>
  </si>
  <si>
    <t>D1.1.10</t>
  </si>
  <si>
    <t>D1.1.11</t>
  </si>
  <si>
    <t>D1.2</t>
  </si>
  <si>
    <t>D1.2.1</t>
  </si>
  <si>
    <t>PVC-U排水管</t>
  </si>
  <si>
    <t>D1.2.2</t>
  </si>
  <si>
    <t>D1.2.3</t>
  </si>
  <si>
    <t>D1.2.4</t>
  </si>
  <si>
    <t>D1.2.5</t>
  </si>
  <si>
    <t>加厚型PVC-U排水管</t>
  </si>
  <si>
    <t>D1.2.6</t>
  </si>
  <si>
    <t>D1.2.7</t>
  </si>
  <si>
    <t>PVC-U空调凝结水管</t>
  </si>
  <si>
    <t>D1.2.8</t>
  </si>
  <si>
    <t>D1.2.9</t>
  </si>
  <si>
    <t>D1.2.10</t>
  </si>
  <si>
    <t>PVC-U雨水管</t>
  </si>
  <si>
    <t>D1.2.11</t>
  </si>
  <si>
    <t>D1.2.12</t>
  </si>
  <si>
    <t>加厚型PVC-U雨水管</t>
  </si>
  <si>
    <t>D1.2.13</t>
  </si>
  <si>
    <t>D1.2.19</t>
  </si>
  <si>
    <t>铸铁排水管</t>
  </si>
  <si>
    <t>D1.2.20</t>
  </si>
  <si>
    <t>D1.2.21</t>
  </si>
  <si>
    <t>D1.3</t>
  </si>
  <si>
    <t>3、套管</t>
  </si>
  <si>
    <t>D1.3.1</t>
  </si>
  <si>
    <t>D1.3.2</t>
  </si>
  <si>
    <t>D1.3.3</t>
  </si>
  <si>
    <t>D1.3.4</t>
  </si>
  <si>
    <t>D1.3.5</t>
  </si>
  <si>
    <t>D1.3.6</t>
  </si>
  <si>
    <t>穿剪力墙、梁钢套管</t>
  </si>
  <si>
    <t>D1.3.7</t>
  </si>
  <si>
    <t>D1.3.8</t>
  </si>
  <si>
    <t>D1.3.9</t>
  </si>
  <si>
    <t>D1.3.10</t>
  </si>
  <si>
    <t>D1.3.11</t>
  </si>
  <si>
    <t>空调穿墙套管</t>
  </si>
  <si>
    <t>砼包封UPVC</t>
  </si>
  <si>
    <t>D1.4</t>
  </si>
  <si>
    <t>D1.4.14</t>
  </si>
  <si>
    <t>阻火圈安装</t>
  </si>
  <si>
    <t>公称直径 ≤110mm</t>
  </si>
  <si>
    <t>本体安装、清理修理孔洞、制安支撑架、浇灌、粘接、清理现场等</t>
  </si>
  <si>
    <t>D1.4.15</t>
  </si>
  <si>
    <t>公称直径 ≤160mm</t>
  </si>
  <si>
    <t>D1.4.16</t>
  </si>
  <si>
    <t>侧墙式地漏</t>
  </si>
  <si>
    <t>本体安装、通水试验等</t>
  </si>
  <si>
    <t>D1.4.17</t>
  </si>
  <si>
    <t>无水封直通式地漏</t>
  </si>
  <si>
    <t>D1.4.18</t>
  </si>
  <si>
    <t>D1.4.19</t>
  </si>
  <si>
    <t>洗衣机专用地漏</t>
  </si>
  <si>
    <t>D1.4.20</t>
  </si>
  <si>
    <t>D1.4.22</t>
  </si>
  <si>
    <t>D1.4.23</t>
  </si>
  <si>
    <t>D2</t>
  </si>
  <si>
    <t>二、户内电气工程</t>
  </si>
  <si>
    <t>D2.1</t>
  </si>
  <si>
    <t>D2.1.22</t>
  </si>
  <si>
    <t>D2.1.23</t>
  </si>
  <si>
    <t>D2.1.24</t>
  </si>
  <si>
    <t>D2.1.25</t>
  </si>
  <si>
    <t>D2.1.26</t>
  </si>
  <si>
    <t>D2.1.27</t>
  </si>
  <si>
    <t>D2.2</t>
  </si>
  <si>
    <t>D2.2.1</t>
  </si>
  <si>
    <t>D2.2.2</t>
  </si>
  <si>
    <t>D2.2.3</t>
  </si>
  <si>
    <t>D2.2.4</t>
  </si>
  <si>
    <t>BVR-4mm2</t>
  </si>
  <si>
    <t>D2.3</t>
  </si>
  <si>
    <t>D2.3.1</t>
  </si>
  <si>
    <t>D2.4</t>
  </si>
  <si>
    <t>D2.4.1</t>
  </si>
  <si>
    <t>D2.4.2</t>
  </si>
  <si>
    <t>D2.4.3</t>
  </si>
  <si>
    <t>D2.4.4</t>
  </si>
  <si>
    <t>D2.4.5</t>
  </si>
  <si>
    <t>D2.4.6</t>
  </si>
  <si>
    <t>D2.4.7</t>
  </si>
  <si>
    <t>D2.4.10</t>
  </si>
  <si>
    <t>D2.4.11</t>
  </si>
  <si>
    <t>D2.4.12</t>
  </si>
  <si>
    <t>D2.4.14</t>
  </si>
  <si>
    <t>D2.4.15</t>
  </si>
  <si>
    <t>D2.4.16</t>
  </si>
  <si>
    <t>D2.5</t>
  </si>
  <si>
    <t>5、其它</t>
  </si>
  <si>
    <t>D2.5.1</t>
  </si>
  <si>
    <t xml:space="preserve">嵌入式住宅照明配电户箱 </t>
  </si>
  <si>
    <t>开箱、检查、安装、箱体开孔、端子板外部接线、接地、焊压接线端子、补刷油漆、标识（箱内电器元件详施工图及技术要求）等</t>
  </si>
  <si>
    <t>材料乙供，按实际配电箱设计核价</t>
  </si>
  <si>
    <t>D2.5.2</t>
  </si>
  <si>
    <t>D3</t>
  </si>
  <si>
    <t>三、户内弱电工程</t>
  </si>
  <si>
    <t>D3.1</t>
  </si>
  <si>
    <t>D3.1.2</t>
  </si>
  <si>
    <t>D3.1.3</t>
  </si>
  <si>
    <t>D3.1.4</t>
  </si>
  <si>
    <t>D3.1.5</t>
  </si>
  <si>
    <t>D3.1.6</t>
  </si>
  <si>
    <t>D3.1.7</t>
  </si>
  <si>
    <t>D3.1.8</t>
  </si>
  <si>
    <t>Φ25</t>
  </si>
  <si>
    <t>D3.1.9</t>
  </si>
  <si>
    <t>Φ32</t>
  </si>
  <si>
    <t>D3.1.10</t>
  </si>
  <si>
    <t>Φ40</t>
  </si>
  <si>
    <t>D3.1.12</t>
  </si>
  <si>
    <t>暗装  多媒体箱</t>
  </si>
  <si>
    <t>测位、打眼、埋螺栓、箱子开孔、刷漆、固定、接地等</t>
  </si>
  <si>
    <t>零星工作限价表</t>
  </si>
  <si>
    <t xml:space="preserve">工程名称： </t>
  </si>
  <si>
    <t>项目名称及特征说明</t>
  </si>
  <si>
    <t>包干单价（含税）（元）</t>
  </si>
  <si>
    <t>备    注</t>
  </si>
  <si>
    <t>常规项目</t>
  </si>
  <si>
    <t>250KW发电机台班（含油费）</t>
  </si>
  <si>
    <t>台班</t>
  </si>
  <si>
    <t>综合包干价，含油费、租赁费、维护费、税金，不含施工单位采管费</t>
  </si>
  <si>
    <t>300KW发电机台班（含油费）</t>
  </si>
  <si>
    <t>400KW发电机台班（含油费）</t>
  </si>
  <si>
    <t>500KW发电机台班（含油费）</t>
  </si>
  <si>
    <t>钢筋砼破除（外运）</t>
  </si>
  <si>
    <t>破除、运输方式及运距综合考虑，含场内场外输。钢筋砼破除、建渣外运、成品保护等</t>
  </si>
  <si>
    <t>综合包干价</t>
  </si>
  <si>
    <t>素砼破除（外运）</t>
  </si>
  <si>
    <t>破除、运输方式及运距综合考虑，含场内场外输。钢筋砼破除、建渣外运、成品保护等。</t>
  </si>
  <si>
    <t>砖砌体破除（外运）</t>
  </si>
  <si>
    <t>机械破除、运输方式及运距综合考虑，含场内场外输。钢筋砼破除、建渣外运、成品保护等</t>
  </si>
  <si>
    <t>建渣清运</t>
  </si>
  <si>
    <t>建渣清理、装车、外运至渣场等全部工作内容，运输方式及运距综合考虑</t>
  </si>
  <si>
    <t>挖土机（斗容量0.5m3）</t>
  </si>
  <si>
    <t>零星用机械（含进出场费、机上人工等），不分品牌综合考虑</t>
  </si>
  <si>
    <t>小时</t>
  </si>
  <si>
    <t>压路机（12T）</t>
  </si>
  <si>
    <t>压路机（14T）</t>
  </si>
  <si>
    <t>压路机（16T）</t>
  </si>
  <si>
    <t>压路机（18T）</t>
  </si>
  <si>
    <t>压路机（20T）</t>
  </si>
  <si>
    <t>压路机（22T）</t>
  </si>
  <si>
    <t>压路机（26T）</t>
  </si>
  <si>
    <t>打楼板洞￠100mm以内</t>
  </si>
  <si>
    <t>120mm厚</t>
  </si>
  <si>
    <t>综合包干价、含恢复</t>
  </si>
  <si>
    <t>打楼板洞￠100mm~￠250mm</t>
  </si>
  <si>
    <t>打楼板洞￠250mm以上</t>
  </si>
  <si>
    <t>打剪力墙洞￠100mm以下内</t>
  </si>
  <si>
    <t>200mm厚</t>
  </si>
  <si>
    <t>打剪力墙洞￠100mm~￠250mm</t>
  </si>
  <si>
    <t>打剪力墙洞￠250mm以上</t>
  </si>
  <si>
    <t>打砖墙洞￠100mm以内</t>
  </si>
  <si>
    <t>打砖墙洞￠100mm~￠250mm</t>
  </si>
  <si>
    <t>打砖墙洞￠250mm以上</t>
  </si>
  <si>
    <t>索赔常规工作项目清单限价表</t>
  </si>
  <si>
    <t>签证记工</t>
  </si>
  <si>
    <t>普工、技工，不分工种，综合考虑</t>
  </si>
  <si>
    <t>工日</t>
  </si>
  <si>
    <t>塔机进出场费（5010）</t>
  </si>
  <si>
    <t>综合考虑，包干费用</t>
  </si>
  <si>
    <t xml:space="preserve">台 </t>
  </si>
  <si>
    <t>塔机进出场费（5013）</t>
  </si>
  <si>
    <t>塔机进出场费（6010）</t>
  </si>
  <si>
    <t>塔机租赁费（5010）</t>
  </si>
  <si>
    <t>综合考虑，不含机上人工</t>
  </si>
  <si>
    <t>台/月</t>
  </si>
  <si>
    <t>塔机租赁费（5013）</t>
  </si>
  <si>
    <t>塔机租赁费（6010）</t>
  </si>
  <si>
    <t>塔机标准节租赁费（长2.5米）</t>
  </si>
  <si>
    <t>节/月</t>
  </si>
  <si>
    <t>塔机标准节租赁费（长2.8米）</t>
  </si>
  <si>
    <t>塔机附着租赁费（长大于6M）</t>
  </si>
  <si>
    <t>个/月</t>
  </si>
  <si>
    <t>全周期租赁费用</t>
  </si>
  <si>
    <t>塔机附着租赁费（长小于6M）</t>
  </si>
  <si>
    <t>塔机机上人员工资</t>
  </si>
  <si>
    <t>机上人数综合考虑</t>
  </si>
  <si>
    <t>月</t>
  </si>
  <si>
    <t>人员基数为2人操作、2人指挥</t>
  </si>
  <si>
    <t>施工电梯租赁费（单笼）</t>
  </si>
  <si>
    <t>施工电梯租赁费（双笼）</t>
  </si>
  <si>
    <t>施工电梯机上人员工资</t>
  </si>
  <si>
    <t>人员基数为2人操作</t>
  </si>
  <si>
    <t>活动板房租金（用天停工费用计取）</t>
  </si>
  <si>
    <t>无论施工单位是购买或租赁的板房，统一按现场实际收方面积乘以单价计算费用</t>
  </si>
  <si>
    <t>租赁费</t>
  </si>
  <si>
    <t>架管租赁费</t>
  </si>
  <si>
    <t>米/天</t>
  </si>
  <si>
    <t>架扣租赁费</t>
  </si>
  <si>
    <t>车泵</t>
  </si>
  <si>
    <t>汽车吊（8T）</t>
  </si>
  <si>
    <t>汽车吊（12T）</t>
  </si>
  <si>
    <t>汽车吊（15T）</t>
  </si>
  <si>
    <t>汽车吊（20T）</t>
  </si>
  <si>
    <t>汽车吊（25T）</t>
  </si>
  <si>
    <t>管理人员工资（项目经理）</t>
  </si>
  <si>
    <t>适用于停工期间费用</t>
  </si>
  <si>
    <t>元/月</t>
  </si>
  <si>
    <t>管理人员工资（项目经理以下人员）</t>
  </si>
  <si>
    <t>保安工资</t>
  </si>
  <si>
    <t>保洁工资</t>
  </si>
  <si>
    <t>说明:
    1、《零星工作项目清单限价表》是列出施工过程中可能出现的零星工作项目，发生时按实际完成工程量以一单一结或补充协议方式办理并进入结算。
    2、本表中的价格为完税包干单价（即不再计取建安税及附加）。
    3、本表所列子目仅用于设计变更或技术核定、索赔时产生的零星项目计价使用。
    4、本表中价格为招标指定执行价格，投标单位不需要报价。因指定价格与实际价格之间的差异费用由承包人综合考虑风险进入措施费用中。</t>
  </si>
  <si>
    <t>调差材料基价表</t>
  </si>
  <si>
    <t>材料名称</t>
  </si>
  <si>
    <t>材料规格、型号</t>
  </si>
  <si>
    <t>不含税材料基价（元）</t>
  </si>
  <si>
    <t>增值税</t>
  </si>
  <si>
    <t>含税材料基价（元）</t>
  </si>
  <si>
    <t>钢材</t>
  </si>
  <si>
    <t>钢筋</t>
  </si>
  <si>
    <t>一级钢综合</t>
  </si>
  <si>
    <t>材料价，含运费、上下车费，不含增值税金</t>
  </si>
  <si>
    <t>二级钢</t>
  </si>
  <si>
    <t>三级钢</t>
  </si>
  <si>
    <t>四级钢</t>
  </si>
  <si>
    <t>冷轧带肋钢材</t>
  </si>
  <si>
    <t>四级抗震带E钢筋</t>
  </si>
  <si>
    <t>商砼</t>
  </si>
  <si>
    <t>普通商砼C15</t>
  </si>
  <si>
    <t>石子粒径综合</t>
  </si>
  <si>
    <t>普通商砼C20</t>
  </si>
  <si>
    <t>普通商砼C25</t>
  </si>
  <si>
    <t>普通商砼C30</t>
  </si>
  <si>
    <t>普通商砼C35</t>
  </si>
  <si>
    <t>普通商砼C40</t>
  </si>
  <si>
    <t>普通商砼C45</t>
  </si>
  <si>
    <t>普通商砼C50</t>
  </si>
  <si>
    <t>普通商砼C55</t>
  </si>
  <si>
    <t>普通商砼C60</t>
  </si>
  <si>
    <t>全轻混凝土</t>
  </si>
  <si>
    <t>容重：1100kg/m3；导热系数：0.28W/(m.K)；热惰性指标：0.59D=R.S。</t>
  </si>
  <si>
    <t>砌体</t>
  </si>
  <si>
    <t>页岩空心砖墙</t>
  </si>
  <si>
    <t>普通，800kg/m3</t>
  </si>
  <si>
    <t>页岩空心砖</t>
  </si>
  <si>
    <t>厚壁型，900kg/m3</t>
  </si>
  <si>
    <t>厚壁型，1000kg/m3</t>
  </si>
  <si>
    <t>页岩多孔砖</t>
  </si>
  <si>
    <t>800kg/m3</t>
  </si>
  <si>
    <t>页岩实心砖墙</t>
  </si>
  <si>
    <t>煤矸石烧结多孔砖</t>
  </si>
  <si>
    <t>标准砖</t>
  </si>
  <si>
    <t>240×115×53</t>
  </si>
  <si>
    <t>千匹</t>
  </si>
  <si>
    <t>页岩实心砖（配砖）</t>
  </si>
  <si>
    <t>200×95×53</t>
  </si>
  <si>
    <t>灰砂砖砌体</t>
  </si>
  <si>
    <t>蒸压加气混凝土普通砌块</t>
  </si>
  <si>
    <t>700kg/m3</t>
  </si>
  <si>
    <t>蒸压加气混凝土精确砌块</t>
  </si>
  <si>
    <t>蒸压砂加气混凝土精确砌块</t>
  </si>
  <si>
    <t>蒸压灰加气混凝土精确砌块</t>
  </si>
  <si>
    <t>砂加气砼砌块</t>
  </si>
  <si>
    <t>灰加气砼砌块</t>
  </si>
  <si>
    <t>砂浆</t>
  </si>
  <si>
    <t>湿拌砌筑砂浆</t>
  </si>
  <si>
    <t>M5.0</t>
  </si>
  <si>
    <t>M7.5</t>
  </si>
  <si>
    <t>M10</t>
  </si>
  <si>
    <t>M15</t>
  </si>
  <si>
    <t>M20</t>
  </si>
  <si>
    <t>湿拌抹灰砂浆</t>
  </si>
  <si>
    <t>M5</t>
  </si>
  <si>
    <t>湿拌地面砂浆</t>
  </si>
  <si>
    <t>干混砌筑砂浆</t>
  </si>
  <si>
    <t>T</t>
  </si>
  <si>
    <t xml:space="preserve">干混抹灰砂浆 </t>
  </si>
  <si>
    <t xml:space="preserve">干混地面砂浆 </t>
  </si>
  <si>
    <t>其他</t>
  </si>
  <si>
    <t>普通硅酸盐水泥</t>
  </si>
  <si>
    <t>32.5袋装</t>
  </si>
  <si>
    <t>吨</t>
  </si>
  <si>
    <t>此项不调差，仅为链接</t>
  </si>
  <si>
    <t>特细砂</t>
  </si>
  <si>
    <t>湖北沙</t>
  </si>
  <si>
    <t>碎石</t>
  </si>
  <si>
    <t>5—40mm</t>
  </si>
  <si>
    <t xml:space="preserve">
1、措施费为按面积总价包干，在实施面积没变化的情况下，措施费不做任何调整，措施费包括但不限于以下项所列的所有费用以及清单未列出未来可能发生的一切措施费用。</t>
  </si>
  <si>
    <t>措施费明细</t>
  </si>
  <si>
    <t>不分业态综合措施费用</t>
  </si>
  <si>
    <t>高层</t>
  </si>
  <si>
    <t>车库面积（m2)</t>
  </si>
  <si>
    <t>车库合价（元）</t>
  </si>
  <si>
    <t>税前包干单价
A
（元/m2）</t>
  </si>
  <si>
    <t>管理费及利润（元/m2）B=A*10%（元/m2）</t>
  </si>
  <si>
    <t>增值税额
C=(A+B)*9%
（元/m2）</t>
  </si>
  <si>
    <t>税后包干单价
A+B+C
（元/m2）</t>
  </si>
  <si>
    <t>高层面积（m2)</t>
  </si>
  <si>
    <t>高层合价（元）</t>
  </si>
  <si>
    <t>税后包干单价
A
（元/m2）</t>
  </si>
  <si>
    <t>措施项目</t>
  </si>
  <si>
    <t>环境保护费</t>
  </si>
  <si>
    <t>1、招标文件及合同要求的环境保护内容产生的费用。
2、包括但不限于对现场树木、建筑物、构筑物、围墙的保护，对周边公共财产和其他第三方财产的保护，对废水、废气、废渣及噪音影响现场外围的控制，施工场地交通限制及治安管理塔吊喷淋系统的制作、安装及当地政府要求的防尘处理要求等。</t>
  </si>
  <si>
    <t>安全施工费</t>
  </si>
  <si>
    <t>1、招标文件及合同要求的安全施工内容产生的费用。
2、包括但不限于临边、洞口、交叉、高处作业防护创建与保持，临时用电的安全设施，营业线施工安全防护，消防器材和设施，重点位置的安全防护，危险条件下的安全防护，其他安全施工环境创建与保持等。
3、工地现场大门口设置工人及管理人员上下班打卡机的费用。</t>
  </si>
  <si>
    <t>文明施工费</t>
  </si>
  <si>
    <t>1、招标文件及合同要求的文明施工产生的费用。
2、包含但不限于安全警示标志牌，五牌一图，企业标志，场容场貌，材料堆放，垃圾清运，废水处理堆场，加工场地硬化创建、保持和拆除，施工垃圾集中收集站设置及保持，垃圾及场地硬化破除建渣、项目施工围墙拆除建渣清运并外运，施工期间施工道路定期洒水、清扫，现场出入口洗车设备及保安人员费用，其他文明施工环境创建与保持，对施工场地内的安全保卫，为配合政府及招标人之工地开放及各类检查措施的创建与保持，围墙形象打造及饰面等。
3、竣工验收时按要求设置的工程铭牌。
4、开荒保洁。</t>
  </si>
  <si>
    <t>临时设施费</t>
  </si>
  <si>
    <t>1、招标文件要求的临时设施搭建及拆除（包括发包人提供给承包人使用的临设产生的费用）。
2、办公、生活、生产临设场地的提供（详招标技术要求约定），因现场无法提供生活区临设场地，导致生活区场外租地及交通费。
3、项目内临时施工道路（含在地下室结构顶板上进行加固处理）、临时施工围挡，临时出入口、大门及办理施工许可证需要的相应措施（包括关系协调和改造费用）（详招标技术要求约定）。承包人在此基础上自行考虑是否还需要另行开口或增设相关设施。若承包人还需要另行开口或增设相关设施，则费用在措施费用中综合考虑，不再另外计取。
4、包括但不限于投标人现场办公室设置与保持，临时仓库的创建及保持，生活设施（住宿、食堂、卫生间等）的设置与保持，现场卫生间创建与保持，临时道路设置与所有道路的保持，临时支撑、围墙、围挡、屏网等临时设施、料场等多次搬迁，照明及电力施工用水临时发电机租用，其他现场施工所必须的临时设施设置与保持及完工后拆除等。</t>
  </si>
  <si>
    <t>场地租赁费</t>
  </si>
  <si>
    <t>检验试验费</t>
  </si>
  <si>
    <t>1、桩本身质量检查或实验费用包含在综合单价中，属于常规第三方检测的费用由业主承担。
2、包括除桩基外全部的检验试验费用。</t>
  </si>
  <si>
    <t>雨季、夜间施工增加费</t>
  </si>
  <si>
    <t>冬、雨季或高温天气为确保工程进度而采用的措施。
包括但不限于防寒、防暑、防雨水等措施创建与保持，夜间施工措施创建与保持，特殊灾害类天气防护措施创建与保持，冬季维护等</t>
  </si>
  <si>
    <t>二次搬运费</t>
  </si>
  <si>
    <t>承包人自行施工需要的临时设施、材料设备（包括甲供）的二次或多次转运(包括但不限于材料设备的多次转运费用，甲供材卸车、场内转运、保管、检测等）。</t>
  </si>
  <si>
    <t>垂直运输机械费</t>
  </si>
  <si>
    <t>1、本工程合同工期内完成工程项目的垂直运输机械费（不包括PC构件的吊装费用）。
2、施工电梯：按施工方案要求配置。
3、塔吊：按施工方案要求配置。</t>
  </si>
  <si>
    <t>大型机械设备基础、进出场及安拆费</t>
  </si>
  <si>
    <t xml:space="preserve">1、各类机械设备（含塔吊、龙门架、挖土机、装载机等）进出场的场外往返运输及安拆、路基铺垫、轨道铺设及基础费用。塔吊等的附着、支撑及预埋铁件等费用。
2、包括但不限于塔吊及塔吊钢筋砼基础设置与保持、拆除与进退场，井架及井架钢筋砼基础设置与保持、拆除与进退场，双笼人货电梯及双笼人货电梯钢筋砼基础设置与保持、拆除与进退场，发电机及砼基础、发电机房设置与保持、拆除与进退场，其他水平或垂直运输设施基础设置与保持、拆除与进退场等 </t>
  </si>
  <si>
    <t>建筑物超高施工增加费</t>
  </si>
  <si>
    <t>1、支模架超高费、2、建筑超高费等，所有产生的费。</t>
  </si>
  <si>
    <t>外脚手架费</t>
  </si>
  <si>
    <t>1、包括本工程所需要使有脚手架费用总和，本工程外脚手架搭设方式按合同要求配置。承包人的脚手架方案应充分考虑施工使用及工作空间。外脚手架拆除报经监理、发包人书面同意后方可拆除。
2、正式电梯工程所需脚手架由电梯专业分包单位自行搭设。</t>
  </si>
  <si>
    <t>已完工程及设备保护费</t>
  </si>
  <si>
    <t>1、承包人自身施工范围内已完工程及设备的成品保护。
2、承包人协调分包单位交叉工作面的成品保护工作，对整体工程的成品保护承担管理责任。
3、对自己完成的成品、半成品及工程材料的保护现场甩筋的防锈保护，且须满足规范要求。</t>
  </si>
  <si>
    <t>支撑钢筋等措施费用</t>
  </si>
  <si>
    <t>1、固定钢筋用的通长马凳筋和铁垫件以及其他措施钢筋制作安装费、商品砼泵管的铺设、固定预埋件的支架、后浇带收口网、地下室外墙打磨找补、各类固定模板用对拉螺杆的制安及拆除、螺杆孔的填补及防水、管道孔的填补及防水、金属构件与墙体连接填补及防水。
2、架管出墙管洞的塞缝封堵密实产生的费用。
3、抗渗混凝土挡墙，打磨清理干净，止水螺杆端头处理。
4、按要求浇筑混凝土的一切措施，在各种构件交叉连接时，为满足不同标号混凝土过渡要求，设计规定的浇筑措施在措施费中考虑。</t>
  </si>
  <si>
    <t>1、安、质检视频管理费。
2、地下室顶板加固：满足后期施工范围需要综合考虑加固所需的材料费及施工费。
3、公区二装空气检测及治理费：空气质量检测费用，以及大体积砼温度控制等措施及测试费用。
4、包括：室内环境检测费、房屋沉降观测、防雷气象局测试费。
5、飞检配合费。
6、招标文件及合同中有约定、而上表未列明的措施项目、风险项目内容。
7、办理施工许可证配合费用
8、保密措施，清理及移交费用，招标代理交易服务费（标办）、排污费、七项保险费等，工程用水管理及措施，工程用电管理及措施，工程验收、专利技术及特殊工艺材料样品及施工样板，施工用机械占道费市政道路的临时占用费，竣工铭牌和投诉牌等政府相关要求所需费用等
9、生活饮用水水质检测相关费用以及取得卫生防疫部门《建设项目卫生验收许可书》费用均包含在措施费用中，不单独另行计取</t>
  </si>
  <si>
    <t>指定分包管理费及指定分包配合费</t>
  </si>
  <si>
    <t>1、总承包单位负责对整个工程的安全、文明、质量、进度等进行总体管理（含大穿插）。
2、对发包人专业分包和独立承包单位提供的配合，配合包括：
   1）承包人按工程项目的具体要求向各专业分包工程及独立承包工程施工单位提供现场施工水电的接驳点。
   2）承包人允许专业分包及独立承包单位在合理施工期间免费使用已搭设的。
3、承包人负责现场指定垃圾堆放点的总分包单位的垃圾（除绿化工程的苗木残枝、精装修工程外）清运并承担费用。
4、督促、协助分包人完善各阶段的工程归档资料，并归类整理汇入总包工程竣工档案。
5、承包人配合专业分包工程进行的系统联动调试及交验（如消防等）。
6、承包人配合专业分包工程进行竣工验收盖章、竣工资料收集装订等总体配合工作。
7、其他配合内容详招标技术要求和合同约定。
8、包括但不限于统一协调配合管理其他承包人（包括主体楼内、楼外各专业工程），为所有承包人提供垂直运输设备的使用，为所有承包人提供水电接驳点，为所有承包人提供便捷的施工道路与通道、临时厕所及其它卫生设施，为其他承包人的施工垃圾指定集中地点并清运出小区外（所有承包人将其施工垃圾清运至指定的集中收集点），为其他承包人配合进行相关的堵洞、收口等工作（孔洞、管洞、管槽的预留、封堵、收口，孔洞、管洞、管槽的开槽，钢质、塑料套管、线盒预埋、堵补、收口，铁质预埋件的制安与埋设费用等包括所有消防套管），收集、审核、汇总各承包人资料和编制总包资料，配合政府部门安检、质检、验收所需费用。</t>
  </si>
  <si>
    <t>精装配合费</t>
  </si>
  <si>
    <t>总包单位负责对批量精装修（成品房）进行报建，产生的所有费用按建筑面积考虑。该费用发生则计取，不发生则不计。</t>
  </si>
  <si>
    <t>xxxx工程</t>
  </si>
  <si>
    <t>正负300mm以内的就地挖、填、找平等，如果总包合同包含大开挖土石方工程，此项不计价</t>
    <phoneticPr fontId="112" type="noConversion"/>
  </si>
  <si>
    <t>C25细石砼：0.051m3/m2</t>
    <phoneticPr fontId="112" type="noConversion"/>
  </si>
  <si>
    <t>C20细石砼：0.0816m3/m2</t>
    <phoneticPr fontId="112" type="noConversion"/>
  </si>
  <si>
    <t>C20细石砼：0.0816m3/m2</t>
    <phoneticPr fontId="112" type="noConversion"/>
  </si>
  <si>
    <t>土方开挖、回填、素土夯实、垫层浇筑、砌砖、抹水泥砂浆、安装落水箅子</t>
  </si>
  <si>
    <t>土方开挖、回填、素土夯实、垫层浇筑、砌砖、抹水泥砂浆、安装盖板</t>
  </si>
  <si>
    <t>20mm厚水泥砂浆找平（20mm厚预拌（干混）砂浆找平）</t>
  </si>
  <si>
    <t>100厚C15混凝土垫层（c20）</t>
  </si>
  <si>
    <t>墙厚度见图、砖容重800kg/m3；M5(M10)水泥石粉浆（现场搅拌）、钢筋加固、细石粉，需要镶嵌的配砖综合考虑在单价内。</t>
  </si>
  <si>
    <t>C20商品砼：0.102m3/m2</t>
  </si>
  <si>
    <t>30mm厚难燃挤塑聚苯板保温层（最终厚度按设计确定）（20、50、55、95厚）</t>
  </si>
  <si>
    <t>甲指乙供</t>
    <phoneticPr fontId="112" type="noConversion"/>
  </si>
  <si>
    <t>主材费暂定6元/m2</t>
    <phoneticPr fontId="112" type="noConversion"/>
  </si>
  <si>
    <t>主材费暂定6元/m2</t>
    <phoneticPr fontId="112" type="noConversion"/>
  </si>
  <si>
    <t>墙面2:生活水箱间、生活水泵房、消防水泵房</t>
  </si>
  <si>
    <t>基层清理、20mm厚DSM预拌（干混）砂浆抹面</t>
  </si>
  <si>
    <t>水泥砂浆粘贴300x300浅色面砖，高度1500高</t>
  </si>
  <si>
    <t>外墙乳胶漆一底两面（电梯机房）</t>
  </si>
  <si>
    <t>外墙乳胶漆一底两面（颜色乙甲方确认为准）</t>
  </si>
  <si>
    <t>顶1 涂料顶棚（商业用房、车库、生活水泵房、生活水箱间）</t>
  </si>
  <si>
    <t>刷108涂料一遍（喷白色涂料（防霉）一遍）</t>
  </si>
  <si>
    <t>满刮Y型内墙腻子两遍（白色内墙防霉腻子两遍）</t>
  </si>
  <si>
    <t>顶3 腻子顶棚(设备用房、库房)</t>
  </si>
  <si>
    <t>满刮Y型内墙腻子两遍（白色内墙腻子两遍）</t>
  </si>
  <si>
    <t>顶4 乳胶漆顶棚（公共楼梯）</t>
  </si>
  <si>
    <t>乳胶漆一底两面（仅洋房、高层首层、二层及顶层）</t>
  </si>
  <si>
    <t>挖方区与小于2米回填土
素土分层夯实，压实系数不小于0.94</t>
  </si>
  <si>
    <t>大于2米回填土
素土分层夯实，压实系数不小于0.94（加150厚碎石或片石夯入土中）</t>
  </si>
  <si>
    <t>零星构件、C20自拌，综合考虑各种浇筑方式，不再另计泵送费</t>
  </si>
  <si>
    <t>20mm厚1:3水泥砂浆或水泥石粉浆找平层或20mm厚DSM15预拌（干混）砂浆找平层；</t>
  </si>
  <si>
    <t>20mm厚1:3水泥砂浆或水泥石粉浆找平层或20mm厚DSM15预拌（干混）砂浆找平层</t>
  </si>
  <si>
    <t>20mm厚1:3水泥石粉浆找平层</t>
  </si>
  <si>
    <t>与墙转角处作250宽（非满布），1.2厚JS－II型聚合物水泥防水涂料，墙面上翻200（250）mm;阴角处做25mmR角</t>
  </si>
  <si>
    <t>最薄处20mm厚1:2.5水泥石粉浆，2%坡向排水口</t>
  </si>
  <si>
    <t>屋面3 小型建筑构件（凸窗顶板（室外）、花池）</t>
  </si>
  <si>
    <t>1.2（1.5）㎜厚JS－II型聚合物水泥防水涂料,防水层上翻所在墙面250mm高</t>
  </si>
  <si>
    <t>20㎜厚1:2.5水泥砂浆或水泥石粉浆保护层压光（20㎜厚DSM15预拌（干混）砂浆保护层压光）</t>
  </si>
  <si>
    <t>20㎜厚1:2.5水泥石粉浆保护层压光</t>
  </si>
  <si>
    <t>地面1：(阳台、厨房、水电表井间、卫生间）</t>
  </si>
  <si>
    <t>地面2：（住宅卧室、书房、客/餐厅、储藏室、过道、商铺、消防控制室等无水房间地面</t>
  </si>
  <si>
    <t>（15）20mm厚1:2.5水泥砂浆保护层拉毛</t>
  </si>
  <si>
    <t>（15）20mm厚DSM15预拌砂浆保护层拉毛</t>
  </si>
  <si>
    <t>A级改性发泡水泥板，40mm厚
容重：251-350kg/m³（除面砖外其他饰面）</t>
  </si>
  <si>
    <t>UPVC止水节地漏</t>
  </si>
  <si>
    <t>1、该项综合单价为扣除分部分项工程中已包含市电费后的自行发电费，机械停滞台班费、租赁费、人工管理费、设备折旧分摊等由投标单位综合考虑。
2、该项综合单价对应台班数量仅为施工用电接通前乙方自行发电的台班量，工程量需由甲方、监理、乙方签字确认。
3、若发现发电期间供其他单位使用，甲方只支付扣除其他单位使用台班费后的费用。</t>
  </si>
  <si>
    <t>/</t>
    <phoneticPr fontId="112" type="noConversion"/>
  </si>
  <si>
    <t>6、本项目所有材料都是乙供，防水、腻子、涂料品牌甲方指定，若指定品牌与清单主材暂定价有差异按核定价格执行。</t>
    <phoneticPr fontId="112" type="noConversion"/>
  </si>
  <si>
    <t>2020年11月 20 日</t>
    <phoneticPr fontId="112" type="noConversion"/>
  </si>
  <si>
    <t>项目名称：重庆申佳地产【天馥城四期土建及普通水电安装】工程施工总承包工程经济标</t>
    <phoneticPr fontId="112" type="noConversion"/>
  </si>
  <si>
    <r>
      <t>I=(D+E+F+G)*</t>
    </r>
    <r>
      <rPr>
        <u/>
        <sz val="8"/>
        <rFont val="宋体"/>
        <family val="3"/>
        <charset val="134"/>
      </rPr>
      <t>H</t>
    </r>
  </si>
  <si>
    <r>
      <t>按平基施工图场内土石方开挖回填，开挖方式、场内</t>
    </r>
    <r>
      <rPr>
        <sz val="8"/>
        <rFont val="宋体"/>
        <family val="3"/>
        <charset val="134"/>
        <scheme val="minor"/>
      </rPr>
      <t>运输距离、运输工具综合考虑，不分土石成份，以挖方作为计价工程量，填方已综合考虑</t>
    </r>
    <phoneticPr fontId="112" type="noConversion"/>
  </si>
  <si>
    <r>
      <t>地梁槽、基础坑槽、承台坑、电梯井坑、积水坑等土石方（地下室大坑属于大开挖不适用此条），开挖方式</t>
    </r>
    <r>
      <rPr>
        <sz val="8"/>
        <rFont val="宋体"/>
        <family val="3"/>
        <charset val="134"/>
        <scheme val="minor"/>
      </rPr>
      <t>及运输距离、运输工具已考虑，不分土石成份。</t>
    </r>
  </si>
  <si>
    <r>
      <t>地下室顶板以上部分回填；含房心回填、肥槽回填；不含</t>
    </r>
    <r>
      <rPr>
        <sz val="8"/>
        <rFont val="宋体"/>
        <family val="3"/>
        <charset val="134"/>
        <scheme val="minor"/>
      </rPr>
      <t>种植土回填、堆坡造型；取土方式及运输距离、运输工具及夯填方式已考虑</t>
    </r>
  </si>
  <si>
    <t xml:space="preserve">1.按平整后钻孔时地面标高与桩端部标高之差（摩擦桩按设计桩长）乘桩截面面积以体积计算
2.钢筋另列项计量
3.砼另列项计量
</t>
    <phoneticPr fontId="112" type="noConversion"/>
  </si>
  <si>
    <t>1.挖土、或爆破石方、水平及垂直运输、场内倒运、外运土石方、安全防护、抽水、通风换气等,渣土（石）弃置费用及密闭运输费等
2.安坼护壁模具、砼护壁
3.抽水、吹风、坑内照明、安全设施搭坼</t>
    <phoneticPr fontId="112" type="noConversion"/>
  </si>
  <si>
    <t xml:space="preserve">1.护筒埋设、机械钻土石（含片石、碎石、砂岩、泥岩等）孔、泥浆制作、护壁、清空、清理沉渣
2.砖砌、拆除浆池及浆沟
3.土石方、废泥浆外运及弃置
4.桩顶浮浆剔除及清理
5.为满足各项桩基检测及试验所进行的配合工作      </t>
    <phoneticPr fontId="112" type="noConversion"/>
  </si>
  <si>
    <t>钢筋笼制作、运输、安装，桩顶钢筋调直等全部工作内容</t>
    <phoneticPr fontId="112" type="noConversion"/>
  </si>
  <si>
    <t>1.人工或机械凿除桩头，砼破碎等
2.钢筋整理、补焊锚固钢筋
3.垃圾清理及外运至政府部门认可的合法弃土场地</t>
    <phoneticPr fontId="112" type="noConversion"/>
  </si>
  <si>
    <t>模板制作、安装、拆除、整理堆放及场内运输；清理模板粘结物及模内杂物、刷隔离剂等</t>
    <phoneticPr fontId="112" type="noConversion"/>
  </si>
  <si>
    <t>商砼泵送（或非泵送）至浇筑点、浇捣、养护、损耗，不再另计泵送费</t>
    <phoneticPr fontId="112" type="noConversion"/>
  </si>
  <si>
    <t>含砼搅拌、运输至浇筑点、浇筑、浇捣、养护、损耗</t>
    <phoneticPr fontId="112" type="noConversion"/>
  </si>
  <si>
    <t>综合费(含管理费、规费、利润)率(%)</t>
    <phoneticPr fontId="112" type="noConversion"/>
  </si>
  <si>
    <t>1.桩直径：φ600mm及φ600mm以内
2.桩长度：综合考虑
3.护壁形式及长度：综合各种护壁形式
4.泥浆运距：自行考虑
5.嵌岩深度：满足规范要求
6.土质类别：综合各类土石方  ,包括卵砾石层等</t>
    <phoneticPr fontId="112" type="noConversion"/>
  </si>
  <si>
    <t>1、不分土石成份，运输方式及挖土石深度、弃土石距离投标单位综合考虑
2.开挖孔径：小于1.0米（椭圆桩按长边计算）                             3.充盈系数：投标人自行考虑           4、护壁：综合考虑到报价
5、孔深：综合考虑到报价</t>
    <phoneticPr fontId="112" type="noConversion"/>
  </si>
  <si>
    <t>1、不分土石成份，运输方式及挖土石深度、弃土石距离投标单位综合考虑
2.开挖孔径：大于1.0米（椭圆桩按长边计算）                             3.充盈系数：投标人自行考虑           4、护壁：综合考虑到报价
6、孔深：综合考虑到报价</t>
    <phoneticPr fontId="112" type="noConversion"/>
  </si>
  <si>
    <t>1.钢筋规格：综合考虑
2.连接方式：综合考虑</t>
    <phoneticPr fontId="112" type="noConversion"/>
  </si>
  <si>
    <t>合计</t>
    <phoneticPr fontId="112" type="noConversion"/>
  </si>
  <si>
    <t xml:space="preserve">1.施工桩长与设计桩长的差额费用已包含在综合单价中；
2.超灌、浮浆剔除、充盈系数变化、零星塌孔均不调整综合单价；
3.砼强度等级变化或外加剂等，套用该子项后再计取砼或外加剂含税差价，水下砼为原设计砼提高一个等级；
4.钢筋笼另计，其单价执行相应桩钢筋笼的综合单价;砼另计，其单价执行“桩芯混凝土”的综合单价；
</t>
    <phoneticPr fontId="112" type="noConversion"/>
  </si>
  <si>
    <t xml:space="preserve">1.浮浆剔除、护筒、护壁形式的变化、零星塌孔均不调整综合单价。
2.钢筋另计，其单价执行相应桩钢筋笼的综合单价;砼另计，其单价执行“桩芯混凝土”的综合单价；
3.若设计要求超灌则应计取截桩头相关费用，否则不计取截桩头。嵌岩深度超过规范要求的长度另计；
4.若设计无要求，空孔回填及回填土石方的外运则不应计取费用；
5.旋挖机钻孔子目也适用于后注浆灌注桩钻孔；后注浆量及注浆管另列项计算；
</t>
    <phoneticPr fontId="112" type="noConversion"/>
  </si>
  <si>
    <t xml:space="preserve">1.浮浆剔除、护筒、护壁形式的变化、塌孔均不调整综合单价。
2.钢筋另计，其单价执行相应桩钢筋笼的综合单价;砼另计，其单价执行“灌注桩浇筑砼”的综合单价；
3.若设计要求超灌则应计取截桩头相关费用，否则不计取截桩头。嵌岩深度超过规范要求的长度另计；
4.若设计无要求，空孔回填及回填土石方的外运则不应计取费用；
5.旋挖机钻孔子目也适用于后注浆灌注桩钻孔；后注浆量及注浆管另列项计算；
</t>
    <phoneticPr fontId="112" type="noConversion"/>
  </si>
  <si>
    <t>声测管材质要求：塑料管，规格尺寸满足设计及规范要求</t>
    <phoneticPr fontId="112" type="noConversion"/>
  </si>
  <si>
    <t>基准合价（元）</t>
    <phoneticPr fontId="112" type="noConversion"/>
  </si>
  <si>
    <t>1.适用于各类桩基灌注桩的截桩头；
2.若灌注桩出现一根桩多次截桩头（如设计要求超灌3米以内），截桩头费用仅计取一次；如设计要求超灌3米以上，记取两次截桩头费用。</t>
    <phoneticPr fontId="112" type="noConversion"/>
  </si>
  <si>
    <r>
      <t>I=(D+E+F+G)*</t>
    </r>
    <r>
      <rPr>
        <u/>
        <sz val="9"/>
        <rFont val="宋体"/>
        <family val="3"/>
        <charset val="134"/>
      </rPr>
      <t>H</t>
    </r>
  </si>
  <si>
    <t>页岩多孔砖
：0.81m3/m3；标准砖200×95×53：0.054千匹/m3；32.5水泥：46.314kg/m3；细石粉：0.2120t/m3；钢筋：2.5kg/m3</t>
  </si>
  <si>
    <t>标准砖200×95×53：0.768千匹/m3；32.5水泥：66.96kg/m3；细石粉：0.3065t/m3；钢筋：2.5kg/m3</t>
  </si>
  <si>
    <t>标准砖240×115×53：0.532千匹/m3；32.5水泥：64.728kg/m3；细石粉：0.2963t/m3；钢筋：2.5kg/m3</t>
  </si>
  <si>
    <t>标准砖200×95×53：0.5514千匹/m3；水泥：58.869kg/m3；细石粉：0.2694t/m3；钢筋：2.5kg/m3</t>
  </si>
  <si>
    <t>标准砖200×95×53：0.5514千匹/m3；水泥：58.869kg/m3；细石粉：0.2694t/m3；钢筋：2.5kg/m4</t>
  </si>
  <si>
    <t>地下室底板1（厚度&lt;=500的主楼筏板，及大地下室底板、柱墩、承台等）</t>
  </si>
  <si>
    <t>地基土压实，压实系数不小于0.94</t>
  </si>
  <si>
    <t>100mm厚C20素砼，原浆收光</t>
  </si>
  <si>
    <t>C20细石砼：0.0612m3/m2</t>
  </si>
  <si>
    <t>楼面4 （生活泵房、消防水泵房、发电机房、公配、专配）</t>
  </si>
  <si>
    <r>
      <t>m</t>
    </r>
    <r>
      <rPr>
        <vertAlign val="superscript"/>
        <sz val="8"/>
        <color theme="1"/>
        <rFont val="宋体"/>
        <family val="3"/>
        <charset val="134"/>
      </rPr>
      <t>3</t>
    </r>
  </si>
  <si>
    <t>石渣运输工具、运输距离等综合，</t>
    <phoneticPr fontId="112" type="noConversion"/>
  </si>
  <si>
    <r>
      <rPr>
        <sz val="8"/>
        <color theme="1"/>
        <rFont val="宋体"/>
        <family val="3"/>
        <charset val="134"/>
      </rPr>
      <t>材料运输、砂浆搅拌、砌砖、勾缝</t>
    </r>
  </si>
  <si>
    <t>页岩空心砖：0.648m3/m3；标准砖200×95×53：0.216千匹/m3；2.5水泥：44.082kg/m3；细石粉：0.2018t/m3；钢筋：2.5kg/m3</t>
  </si>
  <si>
    <t>标准砖200×95×53：0.5514千匹/m3；32.5水泥：58.869kg/m3；细石粉：0.2694t/m3；钢筋：2.5kg/m3</t>
  </si>
  <si>
    <t>材料运输、砂浆搅拌、砌砖、勾缝</t>
  </si>
  <si>
    <t>15mm厚1:3水泥石粉浆找平</t>
  </si>
  <si>
    <r>
      <rPr>
        <sz val="8"/>
        <color theme="1"/>
        <rFont val="宋体"/>
        <family val="3"/>
        <charset val="134"/>
      </rPr>
      <t>总厚度</t>
    </r>
    <r>
      <rPr>
        <u/>
        <sz val="8"/>
        <color theme="1"/>
        <rFont val="宋体"/>
        <family val="3"/>
        <charset val="134"/>
      </rPr>
      <t>6mm</t>
    </r>
    <r>
      <rPr>
        <sz val="8"/>
        <color theme="1"/>
        <rFont val="宋体"/>
        <family val="3"/>
        <charset val="134"/>
      </rPr>
      <t>厚抗裂砂浆两遍压入一层耐碱玻纤网格布；</t>
    </r>
  </si>
  <si>
    <r>
      <rPr>
        <sz val="8"/>
        <color theme="1"/>
        <rFont val="宋体"/>
        <family val="3"/>
        <charset val="134"/>
      </rPr>
      <t>1）总厚度</t>
    </r>
    <r>
      <rPr>
        <u/>
        <sz val="8"/>
        <color theme="1"/>
        <rFont val="宋体"/>
        <family val="3"/>
        <charset val="134"/>
      </rPr>
      <t>8mm</t>
    </r>
    <r>
      <rPr>
        <sz val="8"/>
        <color theme="1"/>
        <rFont val="宋体"/>
        <family val="3"/>
        <charset val="134"/>
      </rPr>
      <t>厚抗裂砂浆抗裂砂浆两次成活，中间设置一道热镀锌金属网</t>
    </r>
  </si>
  <si>
    <r>
      <t>I=(D+E+F+G)*</t>
    </r>
    <r>
      <rPr>
        <u/>
        <sz val="9"/>
        <color theme="1"/>
        <rFont val="宋体"/>
        <family val="3"/>
        <charset val="134"/>
      </rPr>
      <t>H</t>
    </r>
  </si>
  <si>
    <t>父级编码</t>
    <phoneticPr fontId="112" type="noConversion"/>
  </si>
  <si>
    <r>
      <t>安装、通水；含管件、管道、压制弯头、支架制作安装、除锈、刷漆</t>
    </r>
    <r>
      <rPr>
        <sz val="8"/>
        <color theme="1"/>
        <rFont val="宋体"/>
        <family val="3"/>
        <charset val="134"/>
      </rPr>
      <t>、防腐等</t>
    </r>
  </si>
  <si>
    <r>
      <t>米</t>
    </r>
    <r>
      <rPr>
        <vertAlign val="superscript"/>
        <sz val="8"/>
        <color theme="1"/>
        <rFont val="宋体"/>
        <family val="3"/>
        <charset val="134"/>
      </rPr>
      <t>2</t>
    </r>
  </si>
  <si>
    <r>
      <t>安装</t>
    </r>
    <r>
      <rPr>
        <sz val="8"/>
        <color theme="1"/>
        <rFont val="宋体"/>
        <family val="3"/>
        <charset val="134"/>
      </rPr>
      <t>、灌水、通球、闭水、通水；含止水翼环、管件、管卡、套管、支架制作安装等</t>
    </r>
  </si>
  <si>
    <r>
      <t>安装</t>
    </r>
    <r>
      <rPr>
        <sz val="8"/>
        <color theme="1"/>
        <rFont val="宋体"/>
        <family val="3"/>
        <charset val="134"/>
      </rPr>
      <t>、灌水、通球、闭水、通水；含止水翼环、沉箱排水器、管件、管卡、套管、支架制作安装等</t>
    </r>
  </si>
  <si>
    <r>
      <t>含雨水斗、屋面出水口安装、</t>
    </r>
    <r>
      <rPr>
        <sz val="8"/>
        <color theme="1"/>
        <rFont val="宋体"/>
        <family val="3"/>
        <charset val="134"/>
      </rPr>
      <t>灌水、通球、闭水、通水；含管件、管卡、套管、支架制作安装等</t>
    </r>
  </si>
  <si>
    <r>
      <t>安装</t>
    </r>
    <r>
      <rPr>
        <sz val="8"/>
        <color theme="1"/>
        <rFont val="宋体"/>
        <family val="3"/>
        <charset val="134"/>
      </rPr>
      <t>、灌水、通球、闭水、通水；含管件、管卡、套管、支架制作安装等</t>
    </r>
  </si>
  <si>
    <r>
      <t xml:space="preserve">1、该项综合单价为扣除分部分项工程中已包含市电费后的自行发电费，机械停滞台班费、租赁费、人工管理费、设备折旧分摊等由投标单位综合考虑。
2、该项综合单价对应台班数量仅为施工用电接通前乙方自行发电的台班量，工程量需由甲方、监理、乙方签字确认。
</t>
    </r>
    <r>
      <rPr>
        <sz val="9"/>
        <color indexed="10"/>
        <rFont val="宋体"/>
        <family val="3"/>
        <charset val="134"/>
      </rPr>
      <t>3、若发现发电期间供其他单位使用，甲方只支付扣除其他单位使用台班费后的费用。</t>
    </r>
  </si>
  <si>
    <r>
      <t>挖土机（斗容量0.76m</t>
    </r>
    <r>
      <rPr>
        <vertAlign val="superscript"/>
        <sz val="9"/>
        <rFont val="宋体"/>
        <family val="3"/>
        <charset val="134"/>
      </rPr>
      <t>3</t>
    </r>
    <r>
      <rPr>
        <sz val="9"/>
        <rFont val="宋体"/>
        <family val="3"/>
        <charset val="134"/>
      </rPr>
      <t>）</t>
    </r>
  </si>
  <si>
    <r>
      <t>挖土机（斗容量1.0m</t>
    </r>
    <r>
      <rPr>
        <vertAlign val="superscript"/>
        <sz val="9"/>
        <rFont val="宋体"/>
        <family val="3"/>
        <charset val="134"/>
      </rPr>
      <t>3</t>
    </r>
    <r>
      <rPr>
        <sz val="9"/>
        <rFont val="宋体"/>
        <family val="3"/>
        <charset val="134"/>
      </rPr>
      <t>）</t>
    </r>
  </si>
  <si>
    <r>
      <t>挖土机（斗容量1.2m</t>
    </r>
    <r>
      <rPr>
        <vertAlign val="superscript"/>
        <sz val="9"/>
        <rFont val="宋体"/>
        <family val="3"/>
        <charset val="134"/>
      </rPr>
      <t>3</t>
    </r>
    <r>
      <rPr>
        <sz val="9"/>
        <rFont val="宋体"/>
        <family val="3"/>
        <charset val="134"/>
      </rPr>
      <t>）</t>
    </r>
  </si>
  <si>
    <r>
      <t>挖土机（斗容量1.4m</t>
    </r>
    <r>
      <rPr>
        <vertAlign val="superscript"/>
        <sz val="9"/>
        <rFont val="宋体"/>
        <family val="3"/>
        <charset val="134"/>
      </rPr>
      <t>3</t>
    </r>
    <r>
      <rPr>
        <sz val="9"/>
        <rFont val="宋体"/>
        <family val="3"/>
        <charset val="134"/>
      </rPr>
      <t>）</t>
    </r>
  </si>
  <si>
    <t>m2/天</t>
  </si>
  <si>
    <t>个/天</t>
  </si>
  <si>
    <r>
      <t>m</t>
    </r>
    <r>
      <rPr>
        <vertAlign val="superscript"/>
        <sz val="9"/>
        <rFont val="宋体"/>
        <family val="3"/>
        <charset val="134"/>
        <scheme val="minor"/>
      </rPr>
      <t>3</t>
    </r>
  </si>
  <si>
    <r>
      <t>因现场无法提供生活区临设场地，导致生活区场外租地及交通费。承包人按要求设置临时设施产生的费用。</t>
    </r>
    <r>
      <rPr>
        <b/>
        <sz val="8"/>
        <rFont val="宋体"/>
        <family val="3"/>
        <charset val="134"/>
      </rPr>
      <t>（此项如发生则计，不发生则取消）</t>
    </r>
  </si>
  <si>
    <t xml:space="preserve">投标单位高层和车库补充清单 </t>
    <phoneticPr fontId="112" type="noConversion"/>
  </si>
  <si>
    <t>请在此行上面插入需要的行，此行及此行以下不能编辑，最后请调整表格在打印区域以内</t>
    <phoneticPr fontId="112" type="noConversion"/>
  </si>
  <si>
    <t>基准清单合计</t>
    <phoneticPr fontId="112" type="noConversion"/>
  </si>
  <si>
    <t>在基准价基础上
上下浮比例</t>
    <phoneticPr fontId="112" type="noConversion"/>
  </si>
  <si>
    <t>措施及补充清单合计</t>
    <phoneticPr fontId="112" type="noConversion"/>
  </si>
  <si>
    <t>投标单位报价，不参与上下浮</t>
    <phoneticPr fontId="112" type="noConversion"/>
  </si>
  <si>
    <t>投标单位（盖章）：</t>
    <phoneticPr fontId="112" type="noConversion"/>
  </si>
  <si>
    <t>法定代表人或其授权人 (签字或盖章）：</t>
    <phoneticPr fontId="112" type="noConversion"/>
  </si>
  <si>
    <t>一</t>
    <phoneticPr fontId="112" type="noConversion"/>
  </si>
  <si>
    <t>二</t>
    <phoneticPr fontId="112" type="noConversion"/>
  </si>
  <si>
    <t>三</t>
    <phoneticPr fontId="112" type="noConversion"/>
  </si>
  <si>
    <t>总计=（一+二）</t>
    <phoneticPr fontId="112" type="noConversion"/>
  </si>
  <si>
    <r>
      <t>7、 本清单除分项工程特别注明工作内容、项目特征以外，其工程量计算规则以</t>
    </r>
    <r>
      <rPr>
        <sz val="9"/>
        <color rgb="FFFF0000"/>
        <rFont val="宋体"/>
        <family val="3"/>
        <charset val="134"/>
      </rPr>
      <t>2013年《建设工程工程量清单计价规范GB50500》</t>
    </r>
    <r>
      <rPr>
        <sz val="9"/>
        <rFont val="宋体"/>
        <family val="3"/>
        <charset val="134"/>
      </rPr>
      <t xml:space="preserve">为依据，但其中：
A、 </t>
    </r>
    <r>
      <rPr>
        <b/>
        <sz val="9"/>
        <rFont val="宋体"/>
        <family val="3"/>
        <charset val="134"/>
      </rPr>
      <t>砌体钢筋加固（含墙柱预留筋或后期植筋）费用综合到相应的砌体项目中</t>
    </r>
    <r>
      <rPr>
        <sz val="9"/>
        <rFont val="宋体"/>
        <family val="3"/>
        <charset val="134"/>
      </rPr>
      <t>，构造柱纵筋预留或植筋综合考虑，不再单独列项；
B、 现浇构件中固定钢筋位置的支撑钢筋、双层钢筋用的“铁马”、衬铁归入措施项目中。投标人必须在技术标中明确相应的大样及间距。
C、 防水工程的附加层、搭接请投标单位在综合单价中综合考虑，其防水工程量中不再计附加层及搭接工程量。平屋面及地面防水按水平投影面加泛水、翻边工程量计；坡屋面防水按坡屋面结构板面积计算（不计算附加层及搭接工程量）；墙面防水按垂直投影面计算（扣除地面防水翻边）。 
D、 抹灰中钢丝网（其中楼梯间按整面墙面布置）、抹灰和不抹灰交接部位用的玻纤布已综合考虑到相应的项目中，不再单独列项。 
E、</t>
    </r>
    <r>
      <rPr>
        <b/>
        <sz val="9"/>
        <rFont val="宋体"/>
        <family val="3"/>
        <charset val="134"/>
      </rPr>
      <t>砼后浇带、加强带用的钢板网、收口网、打凿、清理的费用已综合考虑到相应的项目中，包括后浇带界面处理、钢丝网分格、钢筋挂条、后浇带界面打凿修复等完成规范要求的所有费用，不再单独列项。</t>
    </r>
    <r>
      <rPr>
        <sz val="9"/>
        <rFont val="宋体"/>
        <family val="3"/>
        <charset val="134"/>
      </rPr>
      <t xml:space="preserve">
F、楼梯间、公共区域有面砖踢脚的高度范围内，</t>
    </r>
    <r>
      <rPr>
        <b/>
        <sz val="9"/>
        <rFont val="宋体"/>
        <family val="3"/>
        <charset val="134"/>
      </rPr>
      <t>墙面不抹灰</t>
    </r>
    <r>
      <rPr>
        <sz val="9"/>
        <rFont val="宋体"/>
        <family val="3"/>
        <charset val="134"/>
      </rPr>
      <t>。
G、墙柱与梁板砼不同等级的处理按图纸设计执行，砼及钢丝网等费用包含在梁板砼中。
H、竖向构件钢筋，若采用搭接方式，</t>
    </r>
    <r>
      <rPr>
        <b/>
        <sz val="9"/>
        <rFont val="宋体"/>
        <family val="3"/>
        <charset val="134"/>
      </rPr>
      <t>施工搭接、设计搭接钢筋及加密箍筋</t>
    </r>
    <r>
      <rPr>
        <sz val="9"/>
        <rFont val="宋体"/>
        <family val="3"/>
        <charset val="134"/>
      </rPr>
      <t>费用均包含在钢筋综合单价内考虑，</t>
    </r>
    <r>
      <rPr>
        <b/>
        <sz val="9"/>
        <rFont val="宋体"/>
        <family val="3"/>
        <charset val="134"/>
      </rPr>
      <t>不再单独记取</t>
    </r>
    <r>
      <rPr>
        <sz val="9"/>
        <rFont val="宋体"/>
        <family val="3"/>
        <charset val="134"/>
      </rPr>
      <t>。
I、钢筋绑扎、搭接、焊接及机械连接等所有钢筋连接方式的费用均包含在钢筋综合单价内，不再单独记取。
J、门窗洞口侧壁抹灰费用综合考虑在抹灰综合单价内，不再单独记取。
K、C15毛石砼换填、C15砼换填（基础）泵送措施投标单位综合考虑，不再单独计车泵。                                                                                                       L、空心砖(或多孔砖)砌体所对应的配砖不单独列项计量,统一计算至相对应的空心砖(或多孔砖)砌体工程量中。其耗量在综合单价中进行综合考虑，空心砖（或多孔砖）规格、尺寸、材质厚度在综合单价中进行综合考虑。
M、在蒸压加气混凝土精确砌块和砼结构质量验收允许尺寸偏差内，计算规则应严格参照工程作法执行，不得再计工程作法之外多余内容。且在蒸压加气混凝土精确砌块和砼结构验收允许尺寸偏差外的为达到找平采取的一切费用不得再计。
N、承包范围详招标文件和招标技术要求。工作范围请投标单位仔细核实：土建总包工程招标技术要求和该项目土建总包工程招标精装修移交要求，综合考虑报价；当房间中有整片剪力墙时取消抹灰层，在基层墙面清理找补后施工面层，该部分清理费用在整体报价中综合考虑，后期不再另行增加费用。
O、投标大内保证楼地面不空鼓、开裂、板面平整而采取的举措，属于承包人正常施工措施，不增加任何费用。
P、塔式起重机及施工电梯基坑的土石方挖运回填、设备基础、安拆、进出场等费用均包含在措施费大型机械及垂直运输等费用里面，不增加任何费用。
Q、所有外墙管道涂料施工，颜色、材质需与相邻外墙做法一致，费用在外墙涂料工程中综合考虑，不再单独计取。</t>
    </r>
  </si>
  <si>
    <t>四</t>
    <phoneticPr fontId="112" type="noConversion"/>
  </si>
  <si>
    <t>在施工过程中，若甲方占用乙方资金(进度款延期支付情况），乙方要求占用资金利息，年利率%</t>
    <phoneticPr fontId="112" type="noConversion"/>
  </si>
  <si>
    <t>本次招标清单为招标人基准清单，投标人不能作任何修改，若基准清单未包含图纸及招标界面内所有工程项目，请投标人按基准清单格式另报清单，若投标人未新增报价清单，视为基准清单包含图纸及招标界面内所有工程子目，工程实施过程除了工程或设计变更、甲方另外委托外不得新增清单。</t>
    <phoneticPr fontId="112" type="noConversion"/>
  </si>
  <si>
    <t>清单中所有公式已设定完毕，投标人不能作任何修改，投标人只需在对应区域填报相关报价。由于打印篇幅受限，若清单部分打印不全，一切以招标清单加密电子版为准</t>
    <phoneticPr fontId="112" type="noConversion"/>
  </si>
  <si>
    <t>重庆申佳地产【天馥城四期土建及普通水电安装】工程施工总承包工程</t>
    <phoneticPr fontId="112" type="noConversion"/>
  </si>
  <si>
    <t>重庆新申佳实业有限公司</t>
    <phoneticPr fontId="112" type="noConversion"/>
  </si>
  <si>
    <r>
      <t>本次报价原则为在招标人基准清单基础上填报各清单项税前上下浮比例，在基准清单涂黄色的列填报比例，自报补充清单不需报上下浮，但应按格式汇总，</t>
    </r>
    <r>
      <rPr>
        <b/>
        <sz val="10"/>
        <color rgb="FFFF0000"/>
        <rFont val="微软雅黑"/>
        <family val="2"/>
        <charset val="134"/>
      </rPr>
      <t>在投标报价汇总表上一定要报占用资金利息，按年利率报。</t>
    </r>
    <r>
      <rPr>
        <b/>
        <sz val="10"/>
        <rFont val="微软雅黑"/>
        <family val="2"/>
        <charset val="134"/>
      </rPr>
      <t xml:space="preserve">
</t>
    </r>
    <phoneticPr fontId="112" type="noConversion"/>
  </si>
  <si>
    <t>合计</t>
    <phoneticPr fontId="112" type="noConversion"/>
  </si>
  <si>
    <t>最薄处20mm厚1:2.5水泥防水砂浆或水泥石粉浆，2%坡向排水口或最薄处20mm厚DSM15预拌（干混）砂浆，2%坡向排水口）</t>
    <phoneticPr fontId="112" type="noConversion"/>
  </si>
  <si>
    <t>40mm厚C20细石混凝土保护层，内配双向Φ6.5@200的Ⅰ级钢筋，面层压光;按间距小于6m设置20mm宽双向分格缝，内嵌油膏</t>
    <phoneticPr fontId="1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</si>
</sst>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 #,##0_ ;_ * \-#,##0_ ;_ * &quot;-&quot;_ ;_ @_ "/>
    <numFmt numFmtId="43" formatCode="_ * #,##0.00_ ;_ * \-#,##0.00_ ;_ * &quot;-&quot;??_ ;_ @_ "/>
    <numFmt numFmtId="176" formatCode="_(&quot;$&quot;* #,##0_);_(&quot;$&quot;* \(#,##0\);_(&quot;$&quot;* &quot;-&quot;_);_(@_)"/>
    <numFmt numFmtId="177" formatCode="#,##0;\(#,##0\)"/>
    <numFmt numFmtId="178" formatCode="0.00_ "/>
    <numFmt numFmtId="179" formatCode="0_);[Red]\(0\)"/>
    <numFmt numFmtId="180" formatCode="#,##0.0_);\(#,##0.0\)"/>
    <numFmt numFmtId="181" formatCode="0.000_ "/>
    <numFmt numFmtId="182" formatCode="_-&quot;$&quot;* #,##0_-;\-&quot;$&quot;* #,##0_-;_-&quot;$&quot;* &quot;-&quot;_-;_-@_-"/>
    <numFmt numFmtId="183" formatCode="&quot;$&quot;\ #,##0.00_-;[Red]&quot;$&quot;\ #,##0.00\-"/>
    <numFmt numFmtId="184" formatCode="_-&quot;$&quot;\ * #,##0_-;_-&quot;$&quot;\ * #,##0\-;_-&quot;$&quot;\ * &quot;-&quot;_-;_-@_-"/>
    <numFmt numFmtId="185" formatCode="_(\ #,##0.0%_);_(\ \(#,##0.0%\);_(\ &quot; - &quot;\%_);_(@_)"/>
    <numFmt numFmtId="186" formatCode="&quot;\&quot;&quot;\&quot;&quot;\&quot;&quot;\&quot;&quot;\&quot;&quot;\&quot;&quot;\&quot;&quot;\&quot;\$#,##0.00_);[Red]&quot;\&quot;&quot;\&quot;&quot;\&quot;&quot;\&quot;&quot;\&quot;&quot;\&quot;&quot;\&quot;&quot;\&quot;\(&quot;\&quot;&quot;\&quot;&quot;\&quot;&quot;\&quot;&quot;\&quot;&quot;\&quot;&quot;\&quot;&quot;\&quot;\$#,##0.00&quot;\&quot;&quot;\&quot;&quot;\&quot;&quot;\&quot;&quot;\&quot;&quot;\&quot;&quot;\&quot;&quot;\&quot;\)"/>
    <numFmt numFmtId="187" formatCode="_-\¥* #,##0_-;\-\¥* #,##0_-;_-\¥* &quot;-&quot;_-;_-@_-"/>
    <numFmt numFmtId="188" formatCode="\$#,##0.00;\(\$#,##0.00\)"/>
    <numFmt numFmtId="189" formatCode="&quot;\&quot;&quot;\&quot;&quot;\&quot;&quot;\&quot;&quot;\&quot;&quot;\&quot;&quot;\&quot;&quot;\&quot;\$#,##0_);[Red]&quot;\&quot;&quot;\&quot;&quot;\&quot;&quot;\&quot;&quot;\&quot;&quot;\&quot;&quot;\&quot;&quot;\&quot;\(&quot;\&quot;&quot;\&quot;&quot;\&quot;&quot;\&quot;&quot;\&quot;&quot;\&quot;&quot;\&quot;&quot;\&quot;\$#,##0&quot;\&quot;&quot;\&quot;&quot;\&quot;&quot;\&quot;&quot;\&quot;&quot;\&quot;&quot;\&quot;&quot;\&quot;\)"/>
    <numFmt numFmtId="190" formatCode="_ &quot;\&quot;* #,##0_ ;_ &quot;\&quot;* &quot;\&quot;&quot;\&quot;&quot;\&quot;&quot;\&quot;&quot;\&quot;&quot;\&quot;&quot;\&quot;&quot;\&quot;&quot;\&quot;&quot;\&quot;&quot;\&quot;&quot;\&quot;&quot;\&quot;&quot;\&quot;&quot;\&quot;&quot;\&quot;&quot;\&quot;&quot;\&quot;&quot;\&quot;&quot;\&quot;&quot;\&quot;&quot;\&quot;&quot;\&quot;\-#,##0_ ;_ &quot;\&quot;* &quot;-&quot;_ ;_ @_ "/>
    <numFmt numFmtId="191" formatCode="\ #,##0.0_);\(#,##0.0\);&quot; - &quot;_);@_)"/>
    <numFmt numFmtId="192" formatCode="_(\ #,##0.0_%_);_(\ \(#,##0.0_%\);_(\ &quot; - &quot;_%_);_(@_)"/>
    <numFmt numFmtId="193" formatCode="#,##0_ "/>
    <numFmt numFmtId="194" formatCode="_ \¥* #,##0_ ;_ \¥* \-#,##0_ ;_ \¥* &quot;-&quot;_ ;_ @_ "/>
    <numFmt numFmtId="195" formatCode="\$#,##0;\(\$#,##0\)"/>
    <numFmt numFmtId="196" formatCode="d\ mmmm\ yyyy"/>
    <numFmt numFmtId="197" formatCode="_ [$€-2]* #,##0.00_ ;_ [$€-2]* \-#,##0.00_ ;_ [$€-2]* &quot;-&quot;??_ "/>
    <numFmt numFmtId="198" formatCode="#,##0;\(#,##0\);&quot;-&quot;"/>
    <numFmt numFmtId="199" formatCode="0.00;[Red]0.00"/>
    <numFmt numFmtId="200" formatCode="_-* #,##0_-;\-* #,##0_-;_-* &quot;-&quot;_-;_-@_-"/>
    <numFmt numFmtId="201" formatCode="&quot;$&quot;#,##0_);[Red]\(&quot;$&quot;#,##0\)"/>
    <numFmt numFmtId="202" formatCode="\ #,##0.000_);\(#,##0.000\);&quot; - &quot;_);@_)"/>
    <numFmt numFmtId="203" formatCode="&quot;$&quot;#,##0.00_);[Red]\(&quot;$&quot;#,##0.00\)"/>
    <numFmt numFmtId="204" formatCode="_(&quot;$&quot;* #,##0.00_);_(&quot;$&quot;* \(#,##0.00\);_(&quot;$&quot;* &quot;-&quot;??_);_(@_)"/>
    <numFmt numFmtId="205" formatCode="#,##0_);\(#,##0\);&quot; - &quot;_);@_)"/>
    <numFmt numFmtId="206" formatCode="0.00_);[Red]\(0.00\)"/>
    <numFmt numFmtId="207" formatCode="yy\.mm\.dd"/>
    <numFmt numFmtId="208" formatCode="_-&quot;$&quot;* #,##0.00_-;\-&quot;$&quot;* #,##0.00_-;_-&quot;$&quot;* &quot;-&quot;??_-;_-@_-"/>
    <numFmt numFmtId="209" formatCode="_-* #,##0.00_-;\-* #,##0.00_-;_-* &quot;-&quot;??_-;_-@_-"/>
    <numFmt numFmtId="210" formatCode="_(\$* #,##0.00_);_(\$* \(#,##0.00\);_(\$* &quot;-&quot;??_);_(@_)"/>
    <numFmt numFmtId="211" formatCode="_-&quot;$&quot;\ * #,##0.00_-;_-&quot;$&quot;\ * #,##0.00\-;_-&quot;$&quot;\ * &quot;-&quot;??_-;_-@_-"/>
    <numFmt numFmtId="212" formatCode="#,##0.00_);[Red]\(#,##0.00\)"/>
    <numFmt numFmtId="213" formatCode="\ #,##0.00_);\(#,##0.00\);&quot; - &quot;_);@_)"/>
    <numFmt numFmtId="214" formatCode="0.00_ ;[Red]\-0.00\ "/>
    <numFmt numFmtId="215" formatCode="#,##0;[Red]\(#,##0\);0"/>
    <numFmt numFmtId="216" formatCode="&quot;￥&quot;#,##0.00;&quot;￥&quot;\-#,##0.00"/>
  </numFmts>
  <fonts count="171">
    <font>
      <sz val="11"/>
      <color theme="1"/>
      <name val="宋体"/>
      <charset val="134"/>
      <scheme val="minor"/>
    </font>
    <font>
      <b/>
      <sz val="16"/>
      <color theme="1"/>
      <name val="宋体"/>
      <charset val="134"/>
    </font>
    <font>
      <sz val="9"/>
      <color theme="1"/>
      <name val="宋体"/>
      <charset val="134"/>
    </font>
    <font>
      <b/>
      <sz val="10"/>
      <color theme="1"/>
      <name val="宋体"/>
      <charset val="134"/>
    </font>
    <font>
      <sz val="10"/>
      <color theme="1"/>
      <name val="宋体"/>
      <charset val="134"/>
    </font>
    <font>
      <sz val="10"/>
      <name val="宋体"/>
      <charset val="134"/>
    </font>
    <font>
      <sz val="10"/>
      <color theme="1"/>
      <name val="宋体"/>
      <charset val="134"/>
      <scheme val="minor"/>
    </font>
    <font>
      <u/>
      <sz val="10"/>
      <color theme="1"/>
      <name val="宋体"/>
      <charset val="134"/>
      <scheme val="minor"/>
    </font>
    <font>
      <sz val="11"/>
      <color theme="1"/>
      <name val="微软雅黑"/>
      <charset val="134"/>
    </font>
    <font>
      <b/>
      <sz val="20"/>
      <name val="宋体"/>
      <charset val="134"/>
    </font>
    <font>
      <b/>
      <sz val="10"/>
      <name val="宋体"/>
      <charset val="134"/>
    </font>
    <font>
      <sz val="9"/>
      <name val="宋体"/>
      <charset val="134"/>
    </font>
    <font>
      <b/>
      <sz val="12"/>
      <name val="宋体"/>
      <charset val="134"/>
    </font>
    <font>
      <b/>
      <sz val="16"/>
      <name val="宋体"/>
      <charset val="134"/>
      <scheme val="minor"/>
    </font>
    <font>
      <b/>
      <sz val="10"/>
      <name val="宋体"/>
      <charset val="134"/>
      <scheme val="minor"/>
    </font>
    <font>
      <b/>
      <sz val="16"/>
      <name val="宋体"/>
      <charset val="134"/>
    </font>
    <font>
      <sz val="9"/>
      <color indexed="8"/>
      <name val="宋体"/>
      <charset val="134"/>
    </font>
    <font>
      <sz val="16"/>
      <name val="宋体"/>
      <charset val="134"/>
      <scheme val="minor"/>
    </font>
    <font>
      <sz val="9"/>
      <color theme="1"/>
      <name val="宋体"/>
      <charset val="134"/>
      <scheme val="minor"/>
    </font>
    <font>
      <sz val="10"/>
      <name val="Times New Roman"/>
      <family val="1"/>
    </font>
    <font>
      <sz val="11"/>
      <name val="宋体"/>
      <charset val="134"/>
    </font>
    <font>
      <b/>
      <sz val="11"/>
      <name val="宋体"/>
      <charset val="134"/>
    </font>
    <font>
      <sz val="12"/>
      <name val="宋体"/>
      <charset val="134"/>
    </font>
    <font>
      <b/>
      <sz val="16"/>
      <name val="华文仿宋"/>
      <charset val="134"/>
    </font>
    <font>
      <sz val="11"/>
      <color indexed="8"/>
      <name val="宋体"/>
      <charset val="134"/>
    </font>
    <font>
      <sz val="9"/>
      <color theme="1"/>
      <name val="Times New Roman"/>
      <family val="1"/>
    </font>
    <font>
      <b/>
      <sz val="11"/>
      <color rgb="FFFF0000"/>
      <name val="宋体"/>
      <charset val="134"/>
    </font>
    <font>
      <sz val="9"/>
      <color rgb="FFFF0000"/>
      <name val="Times New Roman"/>
      <family val="1"/>
    </font>
    <font>
      <b/>
      <sz val="11"/>
      <color indexed="8"/>
      <name val="宋体"/>
      <charset val="134"/>
    </font>
    <font>
      <sz val="10.5"/>
      <color theme="1"/>
      <name val="宋体"/>
      <charset val="134"/>
    </font>
    <font>
      <sz val="10.5"/>
      <color theme="1"/>
      <name val="Times New Roman"/>
      <family val="1"/>
    </font>
    <font>
      <b/>
      <sz val="18"/>
      <color theme="1"/>
      <name val="宋体"/>
      <charset val="134"/>
    </font>
    <font>
      <sz val="11"/>
      <color theme="1"/>
      <name val="宋体"/>
      <charset val="134"/>
    </font>
    <font>
      <sz val="11"/>
      <color rgb="FFFF0000"/>
      <name val="宋体"/>
      <charset val="134"/>
    </font>
    <font>
      <b/>
      <sz val="18"/>
      <name val="Arial"/>
      <family val="2"/>
    </font>
    <font>
      <b/>
      <sz val="8"/>
      <color indexed="8"/>
      <name val="Helv"/>
      <family val="2"/>
    </font>
    <font>
      <sz val="12"/>
      <name val="Times New Roman"/>
      <family val="1"/>
    </font>
    <font>
      <sz val="10"/>
      <name val="Geneva"/>
      <family val="1"/>
    </font>
    <font>
      <sz val="8"/>
      <name val="Arial"/>
      <family val="2"/>
    </font>
    <font>
      <sz val="11"/>
      <color theme="1"/>
      <name val="宋体"/>
      <family val="3"/>
      <charset val="134"/>
      <scheme val="minor"/>
    </font>
    <font>
      <sz val="8"/>
      <name val="Times New Roman"/>
      <family val="1"/>
    </font>
    <font>
      <sz val="10"/>
      <color indexed="16"/>
      <name val="MS Serif"/>
      <family val="1"/>
    </font>
    <font>
      <b/>
      <sz val="15"/>
      <color indexed="56"/>
      <name val="宋体"/>
      <family val="3"/>
      <charset val="134"/>
    </font>
    <font>
      <b/>
      <sz val="10"/>
      <name val="Tms Rmn"/>
      <family val="1"/>
    </font>
    <font>
      <b/>
      <sz val="12"/>
      <name val="Arial"/>
      <family val="2"/>
    </font>
    <font>
      <sz val="8"/>
      <name val="Wingdings"/>
      <charset val="2"/>
    </font>
    <font>
      <sz val="10"/>
      <name val="MS Sans Serif"/>
      <family val="1"/>
    </font>
    <font>
      <sz val="10"/>
      <name val="Helv"/>
      <family val="2"/>
    </font>
    <font>
      <sz val="10"/>
      <name val="Arial"/>
      <family val="2"/>
    </font>
    <font>
      <sz val="11"/>
      <color indexed="9"/>
      <name val="宋体"/>
      <family val="3"/>
      <charset val="134"/>
    </font>
    <font>
      <b/>
      <sz val="11"/>
      <color indexed="56"/>
      <name val="宋体"/>
      <family val="3"/>
      <charset val="134"/>
    </font>
    <font>
      <b/>
      <sz val="11"/>
      <color indexed="62"/>
      <name val="宋体"/>
      <family val="3"/>
      <charset val="134"/>
    </font>
    <font>
      <sz val="12"/>
      <color indexed="20"/>
      <name val="宋体"/>
      <family val="3"/>
      <charset val="134"/>
    </font>
    <font>
      <b/>
      <sz val="8"/>
      <name val="MS Sans Serif"/>
      <family val="2"/>
    </font>
    <font>
      <b/>
      <sz val="18"/>
      <color indexed="56"/>
      <name val="宋体"/>
      <family val="3"/>
      <charset val="134"/>
    </font>
    <font>
      <i/>
      <sz val="10"/>
      <name val="Arial Narrow"/>
      <family val="2"/>
    </font>
    <font>
      <b/>
      <sz val="10"/>
      <name val="MS Sans Serif"/>
      <family val="2"/>
    </font>
    <font>
      <sz val="10"/>
      <name val="MS Serif"/>
      <family val="1"/>
    </font>
    <font>
      <b/>
      <sz val="14"/>
      <name val="楷体"/>
      <family val="3"/>
      <charset val="134"/>
    </font>
    <font>
      <b/>
      <sz val="15"/>
      <color indexed="62"/>
      <name val="宋体"/>
      <family val="3"/>
      <charset val="134"/>
    </font>
    <font>
      <sz val="10"/>
      <color indexed="18"/>
      <name val="Arial Narrow"/>
      <family val="2"/>
    </font>
    <font>
      <sz val="11"/>
      <color indexed="42"/>
      <name val="宋体"/>
      <family val="3"/>
      <charset val="134"/>
    </font>
    <font>
      <sz val="12"/>
      <color indexed="9"/>
      <name val="宋体"/>
      <family val="3"/>
      <charset val="134"/>
    </font>
    <font>
      <b/>
      <sz val="10"/>
      <name val="Arial"/>
      <family val="2"/>
    </font>
    <font>
      <sz val="10"/>
      <name val="Arial Narrow"/>
      <family val="2"/>
    </font>
    <font>
      <sz val="12"/>
      <color indexed="9"/>
      <name val="Helv"/>
      <family val="2"/>
    </font>
    <font>
      <sz val="8"/>
      <color indexed="32"/>
      <name val="Arial Narrow"/>
      <family val="2"/>
    </font>
    <font>
      <sz val="11"/>
      <color indexed="17"/>
      <name val="宋体"/>
      <family val="3"/>
      <charset val="134"/>
    </font>
    <font>
      <b/>
      <sz val="11"/>
      <color indexed="42"/>
      <name val="宋体"/>
      <family val="3"/>
      <charset val="134"/>
    </font>
    <font>
      <b/>
      <sz val="16"/>
      <name val="Arial"/>
      <family val="2"/>
    </font>
    <font>
      <sz val="12"/>
      <name val="Helv"/>
      <family val="2"/>
    </font>
    <font>
      <b/>
      <sz val="10"/>
      <color indexed="18"/>
      <name val="Arial Narrow"/>
      <family val="2"/>
    </font>
    <font>
      <sz val="7"/>
      <name val="Small Fonts"/>
      <charset val="134"/>
    </font>
    <font>
      <b/>
      <sz val="18"/>
      <color indexed="62"/>
      <name val="宋体"/>
      <family val="3"/>
      <charset val="134"/>
    </font>
    <font>
      <sz val="14"/>
      <name val="Arial"/>
      <family val="2"/>
    </font>
    <font>
      <sz val="8"/>
      <name val="MS Sans Serif"/>
      <family val="2"/>
    </font>
    <font>
      <i/>
      <sz val="10"/>
      <color indexed="32"/>
      <name val="Arial Narrow"/>
      <family val="2"/>
    </font>
    <font>
      <i/>
      <sz val="10"/>
      <color indexed="18"/>
      <name val="Arial Narrow"/>
      <family val="2"/>
    </font>
    <font>
      <b/>
      <sz val="10"/>
      <color indexed="32"/>
      <name val="Arial Narrow"/>
      <family val="2"/>
    </font>
    <font>
      <sz val="10"/>
      <color indexed="8"/>
      <name val="Arial"/>
      <family val="2"/>
    </font>
    <font>
      <sz val="10"/>
      <color indexed="32"/>
      <name val="Arial Narrow"/>
      <family val="2"/>
    </font>
    <font>
      <b/>
      <sz val="14"/>
      <color indexed="18"/>
      <name val="Arial"/>
      <family val="2"/>
    </font>
    <font>
      <sz val="10"/>
      <name val="楷体"/>
      <family val="3"/>
      <charset val="134"/>
    </font>
    <font>
      <sz val="12"/>
      <color indexed="8"/>
      <name val="宋体"/>
      <family val="3"/>
      <charset val="134"/>
    </font>
    <font>
      <sz val="11"/>
      <color indexed="62"/>
      <name val="宋体"/>
      <family val="3"/>
      <charset val="134"/>
    </font>
    <font>
      <b/>
      <sz val="12"/>
      <color indexed="55"/>
      <name val="Arial"/>
      <family val="2"/>
    </font>
    <font>
      <b/>
      <sz val="14"/>
      <name val="Arial"/>
      <family val="2"/>
    </font>
    <font>
      <sz val="12"/>
      <name val="Arial"/>
      <family val="2"/>
    </font>
    <font>
      <b/>
      <sz val="14"/>
      <color indexed="32"/>
      <name val="Arial"/>
      <family val="2"/>
    </font>
    <font>
      <sz val="8"/>
      <color indexed="18"/>
      <name val="Arial Narrow"/>
      <family val="2"/>
    </font>
    <font>
      <b/>
      <sz val="10"/>
      <name val="Arial Narrow"/>
      <family val="2"/>
    </font>
    <font>
      <b/>
      <i/>
      <sz val="10"/>
      <name val="Arial Narrow"/>
      <family val="2"/>
    </font>
    <font>
      <sz val="10"/>
      <color indexed="8"/>
      <name val="MS Sans Serif"/>
      <family val="2"/>
    </font>
    <font>
      <b/>
      <sz val="13"/>
      <color indexed="62"/>
      <name val="宋体"/>
      <family val="3"/>
      <charset val="134"/>
    </font>
    <font>
      <b/>
      <sz val="13"/>
      <color indexed="56"/>
      <name val="宋体"/>
      <family val="3"/>
      <charset val="134"/>
    </font>
    <font>
      <sz val="11"/>
      <color indexed="20"/>
      <name val="宋体"/>
      <family val="3"/>
      <charset val="134"/>
    </font>
    <font>
      <sz val="11"/>
      <color rgb="FF006100"/>
      <name val="Tahoma"/>
      <family val="2"/>
    </font>
    <font>
      <sz val="11"/>
      <color indexed="60"/>
      <name val="宋体"/>
      <family val="3"/>
      <charset val="134"/>
    </font>
    <font>
      <sz val="11"/>
      <color rgb="FF9C0006"/>
      <name val="Tahoma"/>
      <family val="2"/>
    </font>
    <font>
      <u/>
      <sz val="11"/>
      <color indexed="12"/>
      <name val="宋体"/>
      <family val="3"/>
      <charset val="134"/>
    </font>
    <font>
      <b/>
      <sz val="9"/>
      <name val="Arial"/>
      <family val="2"/>
    </font>
    <font>
      <sz val="12"/>
      <color indexed="17"/>
      <name val="宋体"/>
      <family val="3"/>
      <charset val="134"/>
    </font>
    <font>
      <b/>
      <sz val="11"/>
      <color indexed="9"/>
      <name val="宋体"/>
      <family val="3"/>
      <charset val="134"/>
    </font>
    <font>
      <b/>
      <sz val="11"/>
      <color indexed="5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b/>
      <sz val="11"/>
      <color indexed="63"/>
      <name val="宋体"/>
      <family val="3"/>
      <charset val="134"/>
    </font>
    <font>
      <u/>
      <sz val="10"/>
      <color theme="1"/>
      <name val="宋体"/>
      <family val="3"/>
      <charset val="134"/>
    </font>
    <font>
      <sz val="11"/>
      <color theme="1"/>
      <name val="宋体"/>
      <family val="3"/>
      <charset val="134"/>
      <scheme val="minor"/>
    </font>
    <font>
      <sz val="10"/>
      <color theme="1"/>
      <name val="宋体"/>
      <family val="3"/>
      <charset val="134"/>
    </font>
    <font>
      <sz val="9"/>
      <name val="宋体"/>
      <family val="3"/>
      <charset val="134"/>
    </font>
    <font>
      <sz val="9"/>
      <name val="宋体"/>
      <family val="3"/>
      <charset val="134"/>
      <scheme val="minor"/>
    </font>
    <font>
      <b/>
      <sz val="9"/>
      <name val="宋体"/>
      <family val="3"/>
      <charset val="134"/>
    </font>
    <font>
      <sz val="9"/>
      <color theme="1"/>
      <name val="宋体"/>
      <family val="3"/>
      <charset val="134"/>
    </font>
    <font>
      <sz val="16"/>
      <color theme="1"/>
      <name val="宋体"/>
      <family val="3"/>
      <charset val="134"/>
      <scheme val="minor"/>
    </font>
    <font>
      <b/>
      <sz val="9"/>
      <color theme="1"/>
      <name val="宋体"/>
      <family val="3"/>
      <charset val="134"/>
      <scheme val="minor"/>
    </font>
    <font>
      <sz val="9"/>
      <color theme="1"/>
      <name val="宋体"/>
      <family val="3"/>
      <charset val="134"/>
      <scheme val="minor"/>
    </font>
    <font>
      <sz val="10"/>
      <name val="微软雅黑"/>
      <family val="2"/>
      <charset val="134"/>
    </font>
    <font>
      <b/>
      <sz val="10"/>
      <name val="微软雅黑"/>
      <family val="2"/>
      <charset val="134"/>
    </font>
    <font>
      <b/>
      <sz val="10"/>
      <color theme="1"/>
      <name val="微软雅黑"/>
      <family val="2"/>
      <charset val="134"/>
    </font>
    <font>
      <sz val="10"/>
      <color rgb="FFFF0000"/>
      <name val="微软雅黑"/>
      <family val="2"/>
      <charset val="134"/>
    </font>
    <font>
      <b/>
      <sz val="18"/>
      <name val="微软雅黑"/>
      <family val="2"/>
      <charset val="134"/>
    </font>
    <font>
      <b/>
      <sz val="28"/>
      <name val="微软雅黑"/>
      <family val="2"/>
      <charset val="134"/>
    </font>
    <font>
      <sz val="11"/>
      <color theme="1"/>
      <name val="微软雅黑"/>
      <family val="2"/>
      <charset val="134"/>
    </font>
    <font>
      <b/>
      <sz val="16"/>
      <name val="微软雅黑"/>
      <family val="2"/>
      <charset val="134"/>
    </font>
    <font>
      <sz val="16"/>
      <name val="微软雅黑"/>
      <family val="2"/>
      <charset val="134"/>
    </font>
    <font>
      <b/>
      <sz val="16"/>
      <color rgb="FFFF0000"/>
      <name val="微软雅黑"/>
      <family val="2"/>
      <charset val="134"/>
    </font>
    <font>
      <sz val="16"/>
      <color rgb="FFFF0000"/>
      <name val="微软雅黑"/>
      <family val="2"/>
      <charset val="134"/>
    </font>
    <font>
      <b/>
      <sz val="16"/>
      <color theme="1"/>
      <name val="微软雅黑"/>
      <family val="2"/>
      <charset val="134"/>
    </font>
    <font>
      <sz val="9"/>
      <color theme="1"/>
      <name val="微软雅黑"/>
      <family val="2"/>
      <charset val="134"/>
    </font>
    <font>
      <sz val="16"/>
      <color theme="1"/>
      <name val="微软雅黑"/>
      <family val="2"/>
      <charset val="134"/>
    </font>
    <font>
      <sz val="9"/>
      <name val="微软雅黑"/>
      <family val="2"/>
      <charset val="134"/>
    </font>
    <font>
      <b/>
      <sz val="14"/>
      <name val="微软雅黑"/>
      <family val="2"/>
      <charset val="134"/>
    </font>
    <font>
      <b/>
      <sz val="10"/>
      <color rgb="FFFF0000"/>
      <name val="微软雅黑"/>
      <family val="2"/>
      <charset val="134"/>
    </font>
    <font>
      <sz val="11"/>
      <name val="微软雅黑"/>
      <family val="2"/>
      <charset val="134"/>
    </font>
    <font>
      <sz val="12"/>
      <name val="微软雅黑"/>
      <family val="2"/>
      <charset val="134"/>
    </font>
    <font>
      <sz val="8"/>
      <name val="宋体"/>
      <family val="3"/>
      <charset val="134"/>
    </font>
    <font>
      <sz val="8"/>
      <name val="宋体"/>
      <family val="3"/>
      <charset val="134"/>
      <scheme val="minor"/>
    </font>
    <font>
      <u/>
      <sz val="8"/>
      <name val="宋体"/>
      <family val="3"/>
      <charset val="134"/>
      <scheme val="minor"/>
    </font>
    <font>
      <u/>
      <sz val="8"/>
      <name val="宋体"/>
      <family val="3"/>
      <charset val="134"/>
    </font>
    <font>
      <b/>
      <sz val="8"/>
      <name val="宋体"/>
      <family val="3"/>
      <charset val="134"/>
    </font>
    <font>
      <sz val="8"/>
      <color theme="1"/>
      <name val="宋体"/>
      <family val="3"/>
      <charset val="134"/>
    </font>
    <font>
      <sz val="8"/>
      <color theme="1"/>
      <name val="宋体"/>
      <family val="3"/>
      <charset val="134"/>
      <scheme val="major"/>
    </font>
    <font>
      <sz val="8"/>
      <name val="宋体"/>
      <family val="3"/>
      <charset val="134"/>
      <scheme val="major"/>
    </font>
    <font>
      <sz val="8"/>
      <color theme="1"/>
      <name val="宋体"/>
      <family val="3"/>
      <charset val="134"/>
      <scheme val="minor"/>
    </font>
    <font>
      <b/>
      <sz val="8"/>
      <name val="宋体"/>
      <family val="3"/>
      <charset val="134"/>
      <scheme val="minor"/>
    </font>
    <font>
      <b/>
      <sz val="9"/>
      <name val="宋体"/>
      <family val="3"/>
      <charset val="134"/>
      <scheme val="minor"/>
    </font>
    <font>
      <b/>
      <sz val="8"/>
      <color theme="1"/>
      <name val="宋体"/>
      <family val="3"/>
      <charset val="134"/>
      <scheme val="minor"/>
    </font>
    <font>
      <u/>
      <sz val="9"/>
      <name val="宋体"/>
      <family val="3"/>
      <charset val="134"/>
      <scheme val="minor"/>
    </font>
    <font>
      <u/>
      <sz val="9"/>
      <name val="宋体"/>
      <family val="3"/>
      <charset val="134"/>
    </font>
    <font>
      <vertAlign val="superscript"/>
      <sz val="8"/>
      <color theme="1"/>
      <name val="宋体"/>
      <family val="3"/>
      <charset val="134"/>
    </font>
    <font>
      <b/>
      <sz val="8"/>
      <color theme="1"/>
      <name val="宋体"/>
      <family val="3"/>
      <charset val="134"/>
    </font>
    <font>
      <u/>
      <sz val="8"/>
      <color theme="1"/>
      <name val="宋体"/>
      <family val="3"/>
      <charset val="134"/>
      <scheme val="minor"/>
    </font>
    <font>
      <b/>
      <sz val="8"/>
      <color theme="1"/>
      <name val="黑体"/>
      <family val="3"/>
      <charset val="134"/>
    </font>
    <font>
      <sz val="8"/>
      <color theme="1"/>
      <name val="黑体"/>
      <family val="3"/>
      <charset val="134"/>
    </font>
    <font>
      <sz val="8"/>
      <color theme="1"/>
      <name val="Times New Roman"/>
      <family val="1"/>
    </font>
    <font>
      <u/>
      <sz val="8"/>
      <color theme="1"/>
      <name val="宋体"/>
      <family val="3"/>
      <charset val="134"/>
    </font>
    <font>
      <u/>
      <sz val="9"/>
      <color theme="1"/>
      <name val="宋体"/>
      <family val="3"/>
      <charset val="134"/>
      <scheme val="minor"/>
    </font>
    <font>
      <u/>
      <sz val="9"/>
      <color theme="1"/>
      <name val="宋体"/>
      <family val="3"/>
      <charset val="134"/>
    </font>
    <font>
      <b/>
      <sz val="9"/>
      <color indexed="8"/>
      <name val="宋体"/>
      <family val="3"/>
      <charset val="134"/>
    </font>
    <font>
      <sz val="9"/>
      <color indexed="8"/>
      <name val="黑体"/>
      <family val="3"/>
      <charset val="134"/>
    </font>
    <font>
      <sz val="9"/>
      <color indexed="10"/>
      <name val="宋体"/>
      <family val="3"/>
      <charset val="134"/>
    </font>
    <font>
      <sz val="9"/>
      <color indexed="8"/>
      <name val="宋体"/>
      <family val="3"/>
      <charset val="134"/>
    </font>
    <font>
      <vertAlign val="superscript"/>
      <sz val="9"/>
      <name val="宋体"/>
      <family val="3"/>
      <charset val="134"/>
    </font>
    <font>
      <sz val="9"/>
      <color indexed="8"/>
      <name val="宋体"/>
      <family val="3"/>
      <charset val="134"/>
      <scheme val="minor"/>
    </font>
    <font>
      <vertAlign val="superscript"/>
      <sz val="9"/>
      <name val="宋体"/>
      <family val="3"/>
      <charset val="134"/>
      <scheme val="minor"/>
    </font>
    <font>
      <sz val="9"/>
      <color rgb="FFFF0000"/>
      <name val="宋体"/>
      <family val="3"/>
      <charset val="134"/>
    </font>
    <font>
      <b/>
      <sz val="8"/>
      <color rgb="FFFF0000"/>
      <name val="宋体"/>
      <family val="3"/>
      <charset val="134"/>
    </font>
    <font>
      <b/>
      <sz val="9"/>
      <color rgb="FFFF0000"/>
      <name val="宋体"/>
      <family val="3"/>
      <charset val="134"/>
    </font>
    <font>
      <b/>
      <sz val="10"/>
      <color theme="1"/>
      <name val="宋体"/>
      <family val="3"/>
      <charset val="134"/>
    </font>
  </fonts>
  <fills count="4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gray125"/>
    </fill>
    <fill>
      <patternFill patternType="gray0625"/>
    </fill>
    <fill>
      <patternFill patternType="solid">
        <fgColor rgb="FFFFC7CE"/>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rgb="FFC6EFCE"/>
        <bgColor indexed="64"/>
      </patternFill>
    </fill>
    <fill>
      <patternFill patternType="solid">
        <fgColor indexed="40"/>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55"/>
        <bgColor indexed="64"/>
      </patternFill>
    </fill>
    <fill>
      <patternFill patternType="solid">
        <fgColor indexed="15"/>
        <bgColor indexed="64"/>
      </patternFill>
    </fill>
    <fill>
      <patternFill patternType="solid">
        <fgColor indexed="30"/>
        <bgColor indexed="64"/>
      </patternFill>
    </fill>
    <fill>
      <patternFill patternType="solid">
        <fgColor indexed="46"/>
        <bgColor indexed="64"/>
      </patternFill>
    </fill>
    <fill>
      <patternFill patternType="mediumGray">
        <fgColor indexed="22"/>
      </patternFill>
    </fill>
    <fill>
      <patternFill patternType="darkVertical"/>
    </fill>
    <fill>
      <patternFill patternType="solid">
        <fgColor indexed="43"/>
        <bgColor indexed="64"/>
      </patternFill>
    </fill>
    <fill>
      <patternFill patternType="solid">
        <fgColor indexed="20"/>
        <bgColor indexed="64"/>
      </patternFill>
    </fill>
    <fill>
      <patternFill patternType="solid">
        <fgColor indexed="52"/>
        <bgColor indexed="64"/>
      </patternFill>
    </fill>
    <fill>
      <patternFill patternType="solid">
        <fgColor indexed="36"/>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diagonalUp="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top/>
      <bottom style="thick">
        <color indexed="62"/>
      </bottom>
      <diagonal/>
    </border>
    <border>
      <left/>
      <right/>
      <top style="medium">
        <color auto="1"/>
      </top>
      <bottom style="medium">
        <color auto="1"/>
      </bottom>
      <diagonal/>
    </border>
    <border>
      <left style="thin">
        <color auto="1"/>
      </left>
      <right style="double">
        <color auto="1"/>
      </right>
      <top style="thin">
        <color auto="1"/>
      </top>
      <bottom style="thin">
        <color auto="1"/>
      </bottom>
      <diagonal/>
    </border>
    <border>
      <left/>
      <right/>
      <top/>
      <bottom style="thick">
        <color indexed="49"/>
      </bottom>
      <diagonal/>
    </border>
    <border>
      <left/>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indexed="32"/>
      </top>
      <bottom style="thin">
        <color indexed="3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diagonal/>
    </border>
  </borders>
  <cellStyleXfs count="39494">
    <xf numFmtId="0" fontId="0" fillId="0" borderId="0">
      <alignment vertical="center"/>
    </xf>
    <xf numFmtId="0" fontId="109" fillId="0" borderId="0">
      <alignment vertical="center"/>
    </xf>
    <xf numFmtId="0" fontId="19"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xf numFmtId="186" fontId="48" fillId="0" borderId="0"/>
    <xf numFmtId="0" fontId="36" fillId="0" borderId="0">
      <alignment vertical="center"/>
    </xf>
    <xf numFmtId="0" fontId="36" fillId="0" borderId="0" applyProtection="0">
      <alignment vertical="center"/>
    </xf>
    <xf numFmtId="0" fontId="36" fillId="0" borderId="0">
      <alignment vertical="center"/>
    </xf>
    <xf numFmtId="0" fontId="109" fillId="0" borderId="0">
      <alignment vertical="center"/>
    </xf>
    <xf numFmtId="0" fontId="109" fillId="0" borderId="0">
      <alignment vertical="center"/>
    </xf>
    <xf numFmtId="0" fontId="36" fillId="0" borderId="0">
      <alignment vertical="center"/>
    </xf>
    <xf numFmtId="0" fontId="36" fillId="0" borderId="0"/>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3" fontId="109" fillId="0" borderId="0" applyFont="0" applyFill="0" applyBorder="0" applyAlignment="0" applyProtection="0">
      <alignment vertical="center"/>
    </xf>
    <xf numFmtId="0" fontId="109" fillId="0" borderId="0">
      <alignment vertical="center"/>
    </xf>
    <xf numFmtId="195" fontId="19" fillId="0" borderId="0">
      <alignment vertical="center"/>
    </xf>
    <xf numFmtId="0" fontId="56" fillId="0" borderId="25">
      <alignment horizontal="center" vertical="center"/>
    </xf>
    <xf numFmtId="49" fontId="5" fillId="0" borderId="5" applyProtection="0">
      <alignment vertical="center" wrapText="1"/>
    </xf>
    <xf numFmtId="9" fontId="109" fillId="0" borderId="0" applyFont="0" applyFill="0" applyBorder="0" applyAlignment="0" applyProtection="0">
      <alignment vertical="center"/>
    </xf>
    <xf numFmtId="0" fontId="36" fillId="0" borderId="0"/>
    <xf numFmtId="49" fontId="22" fillId="0" borderId="5">
      <alignment vertical="center" wrapText="1"/>
    </xf>
    <xf numFmtId="49" fontId="22" fillId="0" borderId="5" applyProtection="0">
      <alignment horizontal="center" vertical="center" wrapText="1"/>
    </xf>
    <xf numFmtId="0" fontId="43" fillId="7" borderId="3">
      <alignment vertical="center"/>
      <protection locked="0"/>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44" fillId="0" borderId="27"/>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49" fillId="11"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xf numFmtId="0" fontId="36" fillId="0" borderId="0"/>
    <xf numFmtId="0" fontId="36" fillId="0" borderId="0">
      <alignment vertical="center"/>
    </xf>
    <xf numFmtId="0" fontId="22" fillId="6" borderId="7"/>
    <xf numFmtId="0" fontId="36" fillId="0" borderId="0">
      <alignment vertical="center"/>
    </xf>
    <xf numFmtId="0" fontId="22" fillId="6" borderId="7"/>
    <xf numFmtId="49" fontId="5" fillId="0" borderId="5" applyProtection="0">
      <alignment horizontal="center" vertical="center" wrapText="1"/>
    </xf>
    <xf numFmtId="49" fontId="5" fillId="0" borderId="5" applyProtection="0">
      <alignment horizontal="center" vertical="center" wrapText="1"/>
    </xf>
    <xf numFmtId="0" fontId="41" fillId="0" borderId="0"/>
    <xf numFmtId="49" fontId="5" fillId="0" borderId="5" applyProtection="0">
      <alignment vertical="center" wrapText="1"/>
    </xf>
    <xf numFmtId="49" fontId="5" fillId="0" borderId="5" applyProtection="0">
      <alignment vertical="center" wrapText="1"/>
    </xf>
    <xf numFmtId="195" fontId="19" fillId="0" borderId="0">
      <alignment vertical="center"/>
    </xf>
    <xf numFmtId="0" fontId="36" fillId="0" borderId="0"/>
    <xf numFmtId="49" fontId="5" fillId="0" borderId="5" applyProtection="0">
      <alignment horizontal="center" vertical="center" wrapText="1"/>
    </xf>
    <xf numFmtId="49" fontId="5" fillId="0" borderId="5" applyProtection="0">
      <alignment horizontal="center" vertical="center" wrapText="1"/>
    </xf>
    <xf numFmtId="189" fontId="48" fillId="0" borderId="0" applyFill="0" applyBorder="0" applyAlignment="0">
      <alignment vertical="center"/>
    </xf>
    <xf numFmtId="0" fontId="36" fillId="0" borderId="0">
      <alignment vertical="center"/>
    </xf>
    <xf numFmtId="0" fontId="36" fillId="0" borderId="0"/>
    <xf numFmtId="178" fontId="5" fillId="0" borderId="5" applyProtection="0">
      <alignment horizontal="right" vertical="center" wrapText="1"/>
    </xf>
    <xf numFmtId="0" fontId="36" fillId="0" borderId="0">
      <alignment vertical="center"/>
    </xf>
    <xf numFmtId="0" fontId="36" fillId="0" borderId="0">
      <alignment vertical="center"/>
    </xf>
    <xf numFmtId="0" fontId="36" fillId="0" borderId="0"/>
    <xf numFmtId="49" fontId="22" fillId="0" borderId="5" applyProtection="0">
      <alignment horizontal="center" vertical="center" wrapText="1"/>
    </xf>
    <xf numFmtId="0" fontId="36" fillId="0" borderId="0">
      <alignment vertical="center"/>
    </xf>
    <xf numFmtId="0" fontId="36" fillId="0" borderId="0">
      <alignment vertical="center"/>
    </xf>
    <xf numFmtId="49" fontId="5" fillId="0" borderId="5">
      <alignment horizontal="center" vertical="center" wrapText="1"/>
    </xf>
    <xf numFmtId="192" fontId="55" fillId="0" borderId="0">
      <alignment horizontal="right" vertical="top"/>
    </xf>
    <xf numFmtId="0" fontId="36" fillId="0" borderId="0">
      <alignment vertical="center"/>
    </xf>
    <xf numFmtId="0" fontId="22" fillId="6" borderId="7"/>
    <xf numFmtId="49" fontId="5" fillId="0" borderId="5">
      <alignment vertical="center" wrapText="1"/>
    </xf>
    <xf numFmtId="49" fontId="5" fillId="0" borderId="5">
      <alignment vertical="center" wrapText="1"/>
    </xf>
    <xf numFmtId="0" fontId="36" fillId="0" borderId="0">
      <alignment vertical="center"/>
    </xf>
    <xf numFmtId="0" fontId="22" fillId="0" borderId="0"/>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0" fontId="22" fillId="6" borderId="7"/>
    <xf numFmtId="0" fontId="36" fillId="0" borderId="0">
      <alignment vertical="center"/>
    </xf>
    <xf numFmtId="0" fontId="36" fillId="0" borderId="0">
      <alignment vertical="center"/>
    </xf>
    <xf numFmtId="49" fontId="5" fillId="0" borderId="5">
      <alignment horizontal="center" vertical="center" wrapText="1"/>
    </xf>
    <xf numFmtId="0" fontId="36" fillId="0" borderId="0">
      <alignment vertical="center"/>
    </xf>
    <xf numFmtId="0" fontId="36" fillId="0" borderId="0">
      <alignment vertical="center"/>
    </xf>
    <xf numFmtId="0" fontId="36" fillId="0" borderId="0"/>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xf numFmtId="14" fontId="40" fillId="0" borderId="0">
      <alignment horizontal="center" vertical="center" wrapText="1"/>
      <protection locked="0"/>
    </xf>
    <xf numFmtId="181" fontId="22" fillId="0" borderId="5" applyProtection="0">
      <alignment horizontal="right" vertical="center" wrapText="1"/>
    </xf>
    <xf numFmtId="49" fontId="22" fillId="0" borderId="0"/>
    <xf numFmtId="181" fontId="22" fillId="0" borderId="5">
      <alignment horizontal="right" vertical="center" wrapText="1"/>
    </xf>
    <xf numFmtId="181" fontId="22"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0" fontId="52" fillId="10"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198" fontId="60" fillId="0" borderId="30">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0" fontId="22" fillId="0" borderId="0"/>
    <xf numFmtId="49" fontId="22" fillId="0" borderId="5" applyProtection="0">
      <alignment horizontal="center"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22" fillId="0" borderId="0" applyProtection="0"/>
    <xf numFmtId="181" fontId="22" fillId="0" borderId="5" applyProtection="0">
      <alignment horizontal="right" vertical="center" wrapText="1"/>
    </xf>
    <xf numFmtId="0" fontId="36" fillId="0" borderId="0"/>
    <xf numFmtId="0" fontId="36" fillId="0" borderId="0" applyProtection="0">
      <alignment vertical="center"/>
    </xf>
    <xf numFmtId="0" fontId="36" fillId="0" borderId="0">
      <alignment vertical="center"/>
    </xf>
    <xf numFmtId="49" fontId="9" fillId="0" borderId="1">
      <alignment horizontal="center"/>
    </xf>
    <xf numFmtId="49" fontId="9" fillId="0" borderId="1">
      <alignment horizontal="center"/>
    </xf>
    <xf numFmtId="0" fontId="38" fillId="13" borderId="0"/>
    <xf numFmtId="0" fontId="58" fillId="0" borderId="4" applyNumberFormat="0" applyFill="0" applyProtection="0">
      <alignment horizontal="center" vertical="center"/>
    </xf>
    <xf numFmtId="0" fontId="58" fillId="0" borderId="4" applyNumberFormat="0" applyFill="0" applyProtection="0">
      <alignment horizontal="center"/>
    </xf>
    <xf numFmtId="195" fontId="19" fillId="0" borderId="0">
      <alignment vertical="center"/>
    </xf>
    <xf numFmtId="0" fontId="47" fillId="0" borderId="0">
      <alignment vertical="center"/>
      <protection locked="0"/>
    </xf>
    <xf numFmtId="0" fontId="36" fillId="0" borderId="0">
      <alignment vertical="center"/>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8" fillId="13" borderId="0" applyNumberFormat="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36" fillId="0" borderId="0">
      <alignment vertical="center"/>
    </xf>
    <xf numFmtId="195"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0" fontId="109" fillId="0" borderId="0">
      <alignment vertical="center"/>
    </xf>
    <xf numFmtId="0" fontId="24" fillId="14" borderId="0" applyNumberFormat="0" applyBorder="0" applyAlignment="0" applyProtection="0">
      <alignment vertical="center"/>
    </xf>
    <xf numFmtId="178" fontId="22" fillId="0" borderId="5">
      <alignment horizontal="right" vertical="center" wrapText="1"/>
    </xf>
    <xf numFmtId="0" fontId="24" fillId="12" borderId="0" applyNumberFormat="0" applyBorder="0" applyAlignment="0" applyProtection="0">
      <alignment vertical="center"/>
    </xf>
    <xf numFmtId="0" fontId="36" fillId="0" borderId="0">
      <alignment vertical="center"/>
    </xf>
    <xf numFmtId="49" fontId="9" fillId="0" borderId="1">
      <alignment horizontal="center"/>
    </xf>
    <xf numFmtId="49" fontId="9" fillId="0" borderId="1">
      <alignment horizontal="center"/>
    </xf>
    <xf numFmtId="0" fontId="38" fillId="13" borderId="0"/>
    <xf numFmtId="0" fontId="58" fillId="0" borderId="4" applyNumberFormat="0" applyFill="0" applyProtection="0">
      <alignment horizontal="center" vertical="center"/>
    </xf>
    <xf numFmtId="0" fontId="58" fillId="0" borderId="4" applyNumberFormat="0" applyFill="0" applyProtection="0">
      <alignment horizontal="center" vertical="center"/>
    </xf>
    <xf numFmtId="0" fontId="36" fillId="0" borderId="0"/>
    <xf numFmtId="49" fontId="5" fillId="0" borderId="5">
      <alignment horizontal="center" vertical="center" wrapText="1"/>
    </xf>
    <xf numFmtId="49" fontId="5" fillId="0" borderId="5">
      <alignment horizontal="center"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5" fillId="0" borderId="5" applyProtection="0">
      <alignment vertical="center" wrapText="1"/>
    </xf>
    <xf numFmtId="0" fontId="36" fillId="0" borderId="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0" fontId="36" fillId="0" borderId="0" applyProtection="0">
      <alignment vertical="center"/>
    </xf>
    <xf numFmtId="0" fontId="38" fillId="13" borderId="0"/>
    <xf numFmtId="0" fontId="58" fillId="0" borderId="4" applyNumberFormat="0" applyFill="0" applyProtection="0">
      <alignment horizontal="center" vertical="center"/>
    </xf>
    <xf numFmtId="0" fontId="58" fillId="0" borderId="4" applyNumberFormat="0" applyFill="0" applyProtection="0">
      <alignment horizontal="center"/>
    </xf>
    <xf numFmtId="195" fontId="19" fillId="0" borderId="0">
      <alignment vertical="center"/>
    </xf>
    <xf numFmtId="0" fontId="38" fillId="13" borderId="0"/>
    <xf numFmtId="0" fontId="58" fillId="0" borderId="4">
      <alignment horizontal="center"/>
    </xf>
    <xf numFmtId="0" fontId="58" fillId="0" borderId="4" applyNumberFormat="0" applyFill="0" applyProtection="0">
      <alignment horizontal="center"/>
    </xf>
    <xf numFmtId="0" fontId="37" fillId="0" borderId="0">
      <alignment vertical="center"/>
    </xf>
    <xf numFmtId="49" fontId="5" fillId="0" borderId="5">
      <alignment vertical="center" wrapText="1"/>
    </xf>
    <xf numFmtId="49" fontId="5" fillId="0" borderId="5" applyProtection="0">
      <alignment horizontal="center" vertical="center" wrapText="1"/>
    </xf>
    <xf numFmtId="49" fontId="5" fillId="0" borderId="5" applyProtection="0">
      <alignment vertical="center" wrapText="1"/>
    </xf>
    <xf numFmtId="0" fontId="38" fillId="13" borderId="0"/>
    <xf numFmtId="0" fontId="58" fillId="0" borderId="4" applyNumberFormat="0" applyFill="0" applyProtection="0">
      <alignment horizontal="center"/>
    </xf>
    <xf numFmtId="0" fontId="58" fillId="0" borderId="4" applyNumberFormat="0" applyFill="0" applyProtection="0">
      <alignment horizontal="center"/>
    </xf>
    <xf numFmtId="0" fontId="36" fillId="0" borderId="0">
      <alignment vertical="center"/>
    </xf>
    <xf numFmtId="0" fontId="37" fillId="0" borderId="0">
      <alignment vertical="center"/>
    </xf>
    <xf numFmtId="49" fontId="5" fillId="0" borderId="5">
      <alignment vertical="center" wrapText="1"/>
    </xf>
    <xf numFmtId="49" fontId="5" fillId="0" borderId="5" applyProtection="0">
      <alignment horizontal="center" vertical="center" wrapText="1"/>
    </xf>
    <xf numFmtId="49" fontId="5" fillId="0" borderId="5" applyProtection="0">
      <alignment vertical="center" wrapText="1"/>
    </xf>
    <xf numFmtId="0" fontId="36" fillId="0" borderId="0">
      <alignment vertical="center"/>
    </xf>
    <xf numFmtId="0" fontId="36" fillId="0" borderId="0">
      <alignment vertical="center"/>
    </xf>
    <xf numFmtId="0" fontId="36" fillId="0" borderId="0"/>
    <xf numFmtId="49" fontId="22" fillId="0" borderId="5" applyProtection="0">
      <alignment horizontal="center" vertical="center" wrapText="1"/>
    </xf>
    <xf numFmtId="0" fontId="43" fillId="7" borderId="3">
      <alignment vertical="center"/>
      <protection locked="0"/>
    </xf>
    <xf numFmtId="0" fontId="36" fillId="0" borderId="0">
      <alignment vertical="center"/>
    </xf>
    <xf numFmtId="0" fontId="53" fillId="0" borderId="25">
      <alignment horizontal="center" vertical="center"/>
    </xf>
    <xf numFmtId="0" fontId="36" fillId="0" borderId="0" applyProtection="0">
      <alignment vertical="center"/>
    </xf>
    <xf numFmtId="0" fontId="36" fillId="0" borderId="0"/>
    <xf numFmtId="49" fontId="22"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0" fontId="36" fillId="0" borderId="0">
      <alignment vertical="center"/>
    </xf>
    <xf numFmtId="49" fontId="5" fillId="0" borderId="5" applyProtection="0">
      <alignment horizontal="center" vertical="center" wrapText="1"/>
    </xf>
    <xf numFmtId="0" fontId="36" fillId="0" borderId="0">
      <alignment vertical="center"/>
    </xf>
    <xf numFmtId="0" fontId="59" fillId="0" borderId="29" applyNumberFormat="0" applyFill="0" applyAlignment="0" applyProtection="0">
      <alignment vertical="center"/>
    </xf>
    <xf numFmtId="0" fontId="36" fillId="0" borderId="0">
      <alignment vertical="center"/>
    </xf>
    <xf numFmtId="0" fontId="59" fillId="0" borderId="29" applyNumberFormat="0" applyFill="0" applyAlignment="0" applyProtection="0">
      <alignment vertical="center"/>
    </xf>
    <xf numFmtId="49" fontId="22" fillId="0" borderId="0" applyProtection="0">
      <alignment vertical="center"/>
    </xf>
    <xf numFmtId="0" fontId="36" fillId="0" borderId="0">
      <alignment vertical="center"/>
    </xf>
    <xf numFmtId="0" fontId="36" fillId="0" borderId="0">
      <alignment vertical="center"/>
    </xf>
    <xf numFmtId="0" fontId="59" fillId="0" borderId="29" applyNumberFormat="0" applyFill="0" applyAlignment="0" applyProtection="0">
      <alignment vertical="center"/>
    </xf>
    <xf numFmtId="49" fontId="22" fillId="0" borderId="0" applyProtection="0"/>
    <xf numFmtId="0" fontId="57" fillId="0" borderId="0"/>
    <xf numFmtId="178" fontId="5" fillId="0" borderId="5">
      <alignment horizontal="right" vertical="center" wrapText="1"/>
    </xf>
    <xf numFmtId="178" fontId="5" fillId="0" borderId="5">
      <alignment horizontal="right" vertical="center" wrapText="1"/>
    </xf>
    <xf numFmtId="0" fontId="36" fillId="0" borderId="0">
      <alignmen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44" fillId="0" borderId="7">
      <alignment horizontal="left" vertical="center"/>
    </xf>
    <xf numFmtId="197" fontId="24" fillId="0" borderId="0">
      <alignment vertical="center"/>
    </xf>
    <xf numFmtId="188" fontId="19" fillId="0" borderId="0">
      <alignment vertical="center"/>
    </xf>
    <xf numFmtId="0" fontId="48" fillId="0" borderId="0">
      <alignment vertical="center"/>
    </xf>
    <xf numFmtId="0" fontId="57" fillId="0" borderId="0"/>
    <xf numFmtId="0" fontId="36" fillId="0" borderId="0"/>
    <xf numFmtId="0" fontId="62" fillId="0" borderId="0" applyNumberFormat="0" applyFill="0" applyBorder="0" applyAlignment="0" applyProtection="0">
      <alignment vertical="center"/>
    </xf>
    <xf numFmtId="178" fontId="5" fillId="0" borderId="5" applyProtection="0">
      <alignment horizontal="right" vertical="center" wrapText="1"/>
    </xf>
    <xf numFmtId="0" fontId="36" fillId="0" borderId="0"/>
    <xf numFmtId="49" fontId="22" fillId="0" borderId="5" applyProtection="0">
      <alignment horizontal="center"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0" fontId="48" fillId="0" borderId="0"/>
    <xf numFmtId="0" fontId="36" fillId="0" borderId="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0" fontId="36" fillId="0" borderId="0">
      <alignment vertical="center"/>
    </xf>
    <xf numFmtId="178" fontId="5" fillId="0" borderId="5" applyProtection="0">
      <alignment horizontal="right" vertical="center" wrapText="1"/>
    </xf>
    <xf numFmtId="0" fontId="53" fillId="0" borderId="25">
      <alignment horizontal="center" vertical="center"/>
    </xf>
    <xf numFmtId="181" fontId="22" fillId="0" borderId="5">
      <alignment horizontal="right" vertical="center" wrapText="1"/>
    </xf>
    <xf numFmtId="181" fontId="22" fillId="0" borderId="5">
      <alignment horizontal="right" vertical="center" wrapText="1"/>
    </xf>
    <xf numFmtId="0" fontId="37" fillId="0" borderId="0"/>
    <xf numFmtId="178" fontId="5" fillId="0" borderId="5">
      <alignment horizontal="right" vertical="center" wrapText="1"/>
    </xf>
    <xf numFmtId="178" fontId="5" fillId="0" borderId="5">
      <alignment horizontal="right" vertical="center" wrapText="1"/>
    </xf>
    <xf numFmtId="0" fontId="36" fillId="0" borderId="0">
      <alignment vertical="center"/>
    </xf>
    <xf numFmtId="0" fontId="59" fillId="0" borderId="29" applyNumberFormat="0" applyFill="0" applyAlignment="0" applyProtection="0">
      <alignment vertical="center"/>
    </xf>
    <xf numFmtId="49" fontId="22" fillId="0" borderId="0"/>
    <xf numFmtId="0" fontId="36" fillId="0" borderId="0">
      <alignment vertical="center"/>
    </xf>
    <xf numFmtId="0" fontId="36" fillId="0" borderId="0">
      <alignment vertical="center"/>
    </xf>
    <xf numFmtId="49" fontId="22" fillId="0" borderId="5" applyProtection="0">
      <alignment horizontal="center" vertical="center" wrapText="1"/>
    </xf>
    <xf numFmtId="0" fontId="36" fillId="0" borderId="0">
      <alignment vertical="center"/>
    </xf>
    <xf numFmtId="178" fontId="5" fillId="0" borderId="5" applyProtection="0">
      <alignment horizontal="right" vertical="center" wrapText="1"/>
    </xf>
    <xf numFmtId="0" fontId="36" fillId="0" borderId="0"/>
    <xf numFmtId="0" fontId="36" fillId="0" borderId="0"/>
    <xf numFmtId="0" fontId="59" fillId="0" borderId="29" applyNumberFormat="0" applyFill="0" applyAlignment="0" applyProtection="0">
      <alignment vertical="center"/>
    </xf>
    <xf numFmtId="49" fontId="22"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8" fillId="13" borderId="0" applyNumberFormat="0" applyBorder="0" applyAlignment="0" applyProtection="0">
      <alignment vertical="center"/>
    </xf>
    <xf numFmtId="0" fontId="36" fillId="0" borderId="0"/>
    <xf numFmtId="0" fontId="36" fillId="0" borderId="0"/>
    <xf numFmtId="0" fontId="59" fillId="0" borderId="29" applyNumberFormat="0" applyFill="0" applyAlignment="0" applyProtection="0">
      <alignment vertical="center"/>
    </xf>
    <xf numFmtId="49" fontId="22"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8" fillId="13" borderId="0" applyNumberFormat="0" applyBorder="0" applyAlignment="0" applyProtection="0">
      <alignment vertical="center"/>
    </xf>
    <xf numFmtId="0" fontId="36" fillId="0" borderId="0"/>
    <xf numFmtId="0" fontId="36" fillId="0" borderId="0"/>
    <xf numFmtId="0" fontId="42" fillId="0" borderId="26" applyNumberFormat="0" applyFill="0" applyAlignment="0" applyProtection="0">
      <alignment vertical="center"/>
    </xf>
    <xf numFmtId="0" fontId="36" fillId="0" borderId="0">
      <alignment vertical="center"/>
    </xf>
    <xf numFmtId="49" fontId="22"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41" fillId="0" borderId="0" applyNumberFormat="0" applyAlignment="0">
      <alignment horizontal="left" vertical="center"/>
    </xf>
    <xf numFmtId="0" fontId="36" fillId="0" borderId="0">
      <alignment vertical="center"/>
    </xf>
    <xf numFmtId="0" fontId="36" fillId="0" borderId="0">
      <alignment vertical="center"/>
    </xf>
    <xf numFmtId="178" fontId="5" fillId="0" borderId="5">
      <alignment horizontal="right" vertical="center" wrapText="1"/>
    </xf>
    <xf numFmtId="0" fontId="36" fillId="0" borderId="0"/>
    <xf numFmtId="0" fontId="36" fillId="0" borderId="0" applyProtection="0">
      <alignment vertical="center"/>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49" fontId="22"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xf numFmtId="0" fontId="36" fillId="0" borderId="0" applyProtection="0"/>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53" fillId="0" borderId="25">
      <alignment horizontal="center" vertical="center"/>
    </xf>
    <xf numFmtId="178" fontId="22" fillId="0" borderId="5">
      <alignment horizontal="right"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0" fontId="36" fillId="0" borderId="0"/>
    <xf numFmtId="181" fontId="22" fillId="0" borderId="5" applyProtection="0">
      <alignment horizontal="right" vertical="center" wrapText="1"/>
    </xf>
    <xf numFmtId="49" fontId="22" fillId="0" borderId="0"/>
    <xf numFmtId="0" fontId="36" fillId="0" borderId="0">
      <alignment vertical="center"/>
    </xf>
    <xf numFmtId="0" fontId="22" fillId="6" borderId="7" applyNumberFormat="0" applyFont="0" applyAlignment="0">
      <alignment horizontal="center" vertical="center"/>
    </xf>
    <xf numFmtId="15" fontId="46" fillId="0" borderId="0">
      <alignment vertical="center"/>
    </xf>
    <xf numFmtId="0" fontId="36" fillId="0" borderId="0">
      <alignment vertical="center"/>
    </xf>
    <xf numFmtId="0" fontId="22" fillId="6" borderId="7" applyNumberFormat="0" applyFont="0" applyAlignment="0">
      <alignment horizontal="center" vertical="center"/>
    </xf>
    <xf numFmtId="0" fontId="44" fillId="0" borderId="7">
      <alignment horizontal="left" vertical="center"/>
    </xf>
    <xf numFmtId="0" fontId="37"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22" fillId="6" borderId="7"/>
    <xf numFmtId="0" fontId="44" fillId="0" borderId="7">
      <alignment horizontal="lef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0" fontId="22" fillId="6" borderId="7"/>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22" fillId="6" borderId="7"/>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95" fontId="19" fillId="0" borderId="0">
      <alignment vertical="center"/>
    </xf>
    <xf numFmtId="0" fontId="36" fillId="0" borderId="0">
      <alignment vertical="center"/>
    </xf>
    <xf numFmtId="0" fontId="22" fillId="6" borderId="7"/>
    <xf numFmtId="0" fontId="44" fillId="0" borderId="7">
      <alignment horizontal="left" vertical="center"/>
    </xf>
    <xf numFmtId="0" fontId="36" fillId="0" borderId="0">
      <alignment vertical="center"/>
    </xf>
    <xf numFmtId="0" fontId="36"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0" fontId="22" fillId="6" borderId="7"/>
    <xf numFmtId="0" fontId="36" fillId="0" borderId="0">
      <alignment vertical="center"/>
    </xf>
    <xf numFmtId="0" fontId="22" fillId="6" borderId="7"/>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0" fontId="22" fillId="6" borderId="7"/>
    <xf numFmtId="0" fontId="36" fillId="0" borderId="0">
      <alignment vertical="center"/>
    </xf>
    <xf numFmtId="0" fontId="36" fillId="0" borderId="0">
      <alignment vertical="center"/>
    </xf>
    <xf numFmtId="0" fontId="36" fillId="0" borderId="0">
      <alignment vertical="center"/>
    </xf>
    <xf numFmtId="0" fontId="22" fillId="6" borderId="7"/>
    <xf numFmtId="0" fontId="36" fillId="0" borderId="0">
      <alignment vertical="center"/>
    </xf>
    <xf numFmtId="0" fontId="22" fillId="6" borderId="7"/>
    <xf numFmtId="0" fontId="43" fillId="7" borderId="3">
      <alignment vertical="center"/>
      <protection locked="0"/>
    </xf>
    <xf numFmtId="0" fontId="36" fillId="0" borderId="0">
      <alignment vertical="center"/>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22" fillId="6" borderId="7"/>
    <xf numFmtId="0" fontId="43" fillId="7" borderId="3">
      <alignment vertical="center"/>
      <protection locked="0"/>
    </xf>
    <xf numFmtId="0" fontId="43" fillId="7" borderId="3">
      <protection locked="0"/>
    </xf>
    <xf numFmtId="0" fontId="42" fillId="0" borderId="26" applyNumberFormat="0" applyFill="0" applyAlignment="0" applyProtection="0">
      <alignmen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41" fillId="0" borderId="0" applyNumberFormat="0" applyAlignment="0">
      <alignment horizontal="left" vertical="center"/>
    </xf>
    <xf numFmtId="0" fontId="41" fillId="0" borderId="0" applyNumberFormat="0" applyAlignment="0">
      <alignment horizontal="lef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178" fontId="5" fillId="0" borderId="5">
      <alignment horizontal="right" vertical="center" wrapText="1"/>
    </xf>
    <xf numFmtId="0" fontId="36" fillId="0" borderId="0">
      <alignment vertical="center"/>
    </xf>
    <xf numFmtId="0" fontId="22" fillId="6" borderId="7"/>
    <xf numFmtId="0" fontId="43" fillId="7" borderId="3">
      <alignment vertical="center"/>
      <protection locked="0"/>
    </xf>
    <xf numFmtId="0" fontId="36" fillId="0" borderId="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22" fillId="6" borderId="7"/>
    <xf numFmtId="0" fontId="43" fillId="7" borderId="3">
      <alignment vertical="center"/>
      <protection locked="0"/>
    </xf>
    <xf numFmtId="0" fontId="36" fillId="0" borderId="0">
      <alignment vertical="center"/>
    </xf>
    <xf numFmtId="0" fontId="36" fillId="0" borderId="0">
      <alignment vertical="center"/>
    </xf>
    <xf numFmtId="0" fontId="36" fillId="0" borderId="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15" fontId="46" fillId="0" borderId="0">
      <alignment vertical="center"/>
    </xf>
    <xf numFmtId="0" fontId="43" fillId="7" borderId="3">
      <alignment vertical="center"/>
      <protection locked="0"/>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188" fontId="19" fillId="0" borderId="0">
      <alignment vertical="center"/>
    </xf>
    <xf numFmtId="178" fontId="22" fillId="0" borderId="5">
      <alignment horizontal="right" vertical="center" wrapText="1"/>
    </xf>
    <xf numFmtId="0" fontId="36" fillId="0" borderId="0">
      <alignment vertical="center"/>
    </xf>
    <xf numFmtId="0" fontId="24" fillId="0" borderId="0">
      <alignment vertical="center"/>
    </xf>
    <xf numFmtId="49" fontId="22" fillId="0" borderId="5" applyProtection="0">
      <alignment vertical="center" wrapText="1"/>
    </xf>
    <xf numFmtId="49" fontId="22" fillId="0" borderId="5" applyProtection="0">
      <alignment vertical="center" wrapText="1"/>
    </xf>
    <xf numFmtId="49" fontId="22" fillId="0" borderId="0" applyFont="0" applyFill="0" applyBorder="0" applyAlignment="0" applyProtection="0">
      <alignment vertical="center"/>
    </xf>
    <xf numFmtId="0" fontId="36" fillId="0"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44" fillId="0" borderId="7">
      <alignment horizontal="left" vertical="center"/>
    </xf>
    <xf numFmtId="0" fontId="43" fillId="7" borderId="3">
      <alignment vertical="center"/>
      <protection locked="0"/>
    </xf>
    <xf numFmtId="0" fontId="22" fillId="6" borderId="7"/>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44" fillId="0" borderId="7">
      <alignment horizontal="lef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49" fontId="22" fillId="0" borderId="0" applyFont="0" applyFill="0" applyBorder="0" applyAlignment="0" applyProtection="0">
      <alignment vertical="center"/>
    </xf>
    <xf numFmtId="0" fontId="43" fillId="7" borderId="3">
      <alignment vertical="center"/>
      <protection locked="0"/>
    </xf>
    <xf numFmtId="0" fontId="22" fillId="6" borderId="7"/>
    <xf numFmtId="0" fontId="22" fillId="6" borderId="7"/>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xf numFmtId="181" fontId="22" fillId="0" borderId="5">
      <alignment horizontal="right" vertical="center" wrapText="1"/>
    </xf>
    <xf numFmtId="181" fontId="22" fillId="0" borderId="5">
      <alignment horizontal="right" vertical="center" wrapText="1"/>
    </xf>
    <xf numFmtId="0" fontId="36" fillId="0" borderId="0">
      <alignment vertical="center"/>
    </xf>
    <xf numFmtId="0" fontId="43" fillId="7" borderId="3">
      <alignment vertical="center"/>
      <protection locked="0"/>
    </xf>
    <xf numFmtId="15" fontId="4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xf numFmtId="0" fontId="44" fillId="0" borderId="7">
      <alignment horizontal="left" vertical="center"/>
    </xf>
    <xf numFmtId="0" fontId="36" fillId="0" borderId="0">
      <alignment vertical="center"/>
    </xf>
    <xf numFmtId="0" fontId="36" fillId="0" borderId="0">
      <alignment vertical="center"/>
    </xf>
    <xf numFmtId="0" fontId="36" fillId="0" borderId="0">
      <alignment vertical="center"/>
    </xf>
    <xf numFmtId="0" fontId="109" fillId="0" borderId="0">
      <alignment vertical="center"/>
    </xf>
    <xf numFmtId="0" fontId="109" fillId="0" borderId="0">
      <alignment vertical="center"/>
    </xf>
    <xf numFmtId="49" fontId="22" fillId="0" borderId="5">
      <alignment horizontal="center" vertical="center" wrapText="1"/>
    </xf>
    <xf numFmtId="49" fontId="22" fillId="0" borderId="5">
      <alignment horizontal="center" vertical="center" wrapText="1"/>
    </xf>
    <xf numFmtId="0" fontId="36" fillId="0" borderId="0"/>
    <xf numFmtId="49" fontId="22" fillId="0" borderId="5">
      <alignment horizontal="center" vertical="center" wrapText="1"/>
    </xf>
    <xf numFmtId="49" fontId="22" fillId="0" borderId="5">
      <alignment horizontal="center" vertical="center" wrapText="1"/>
    </xf>
    <xf numFmtId="0" fontId="44" fillId="0" borderId="7">
      <alignment horizontal="left" vertical="center"/>
    </xf>
    <xf numFmtId="0" fontId="22" fillId="6" borderId="7"/>
    <xf numFmtId="0" fontId="36" fillId="0" borderId="0">
      <alignment vertical="center"/>
    </xf>
    <xf numFmtId="178" fontId="5" fillId="0" borderId="5" applyProtection="0">
      <alignment horizontal="right" vertical="center" wrapText="1"/>
    </xf>
    <xf numFmtId="0" fontId="37" fillId="0" borderId="0"/>
    <xf numFmtId="178" fontId="22" fillId="0" borderId="5">
      <alignment horizontal="right" vertical="center" wrapText="1"/>
    </xf>
    <xf numFmtId="0" fontId="53" fillId="0" borderId="25">
      <alignment horizontal="center" vertical="center"/>
    </xf>
    <xf numFmtId="40" fontId="35" fillId="0" borderId="0" applyBorder="0">
      <alignment horizontal="right" vertical="center"/>
    </xf>
    <xf numFmtId="40" fontId="35" fillId="0" borderId="0" applyBorder="0">
      <alignment horizontal="right" vertical="center"/>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61" fillId="11" borderId="0" applyNumberFormat="0" applyBorder="0" applyAlignment="0" applyProtection="0">
      <alignment vertical="center"/>
    </xf>
    <xf numFmtId="195" fontId="19"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0" fontId="41" fillId="0" borderId="0" applyNumberFormat="0" applyAlignment="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95" fontId="19"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95"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36" fillId="0" borderId="0"/>
    <xf numFmtId="9" fontId="22" fillId="0" borderId="0" applyFont="0" applyFill="0" applyBorder="0" applyAlignment="0" applyProtection="0">
      <alignment vertical="center"/>
    </xf>
    <xf numFmtId="189" fontId="48" fillId="0" borderId="0" applyFill="0" applyBorder="0" applyAlignment="0">
      <alignment vertical="center"/>
    </xf>
    <xf numFmtId="0" fontId="22" fillId="6" borderId="7"/>
    <xf numFmtId="0" fontId="36" fillId="0" borderId="0">
      <alignment vertical="center"/>
    </xf>
    <xf numFmtId="0" fontId="36" fillId="0" borderId="0" applyProtection="0">
      <alignment vertical="center"/>
    </xf>
    <xf numFmtId="0" fontId="36" fillId="0" borderId="0">
      <alignment vertical="center"/>
    </xf>
    <xf numFmtId="0" fontId="36" fillId="0" borderId="0"/>
    <xf numFmtId="0" fontId="36" fillId="0" borderId="0" applyProtection="0"/>
    <xf numFmtId="9" fontId="24" fillId="0" borderId="0" applyFont="0" applyFill="0" applyBorder="0" applyAlignment="0" applyProtection="0">
      <alignment vertical="center"/>
    </xf>
    <xf numFmtId="189" fontId="48" fillId="0" borderId="0"/>
    <xf numFmtId="0" fontId="22" fillId="6" borderId="7"/>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0" borderId="0" applyNumberFormat="0" applyAlignment="0">
      <alignment horizontal="left" vertical="center"/>
    </xf>
    <xf numFmtId="0" fontId="41" fillId="0" borderId="0" applyNumberFormat="0" applyAlignment="0">
      <alignment horizontal="left"/>
    </xf>
    <xf numFmtId="0" fontId="36" fillId="0" borderId="0" applyProtection="0">
      <alignment vertical="center"/>
    </xf>
    <xf numFmtId="49" fontId="5" fillId="0" borderId="5" applyProtection="0">
      <alignment horizontal="center" vertical="center" wrapText="1"/>
    </xf>
    <xf numFmtId="0" fontId="36" fillId="0" borderId="0">
      <alignment vertical="center"/>
    </xf>
    <xf numFmtId="0" fontId="36" fillId="0" borderId="0"/>
    <xf numFmtId="0" fontId="36" fillId="0" borderId="0">
      <alignment vertical="center"/>
    </xf>
    <xf numFmtId="0" fontId="41" fillId="0" borderId="0" applyNumberFormat="0" applyAlignment="0">
      <alignment horizontal="left" vertical="center"/>
    </xf>
    <xf numFmtId="0" fontId="41" fillId="0" borderId="0" applyNumberFormat="0" applyAlignment="0">
      <alignment horizontal="left"/>
    </xf>
    <xf numFmtId="0" fontId="36" fillId="0" borderId="0">
      <alignment vertical="center"/>
    </xf>
    <xf numFmtId="0" fontId="36" fillId="0" borderId="0" applyProtection="0">
      <alignment vertical="center"/>
    </xf>
    <xf numFmtId="49" fontId="22" fillId="0" borderId="5">
      <alignment vertical="center" wrapText="1"/>
    </xf>
    <xf numFmtId="49" fontId="22" fillId="0" borderId="5">
      <alignment vertical="center" wrapText="1"/>
    </xf>
    <xf numFmtId="181" fontId="5" fillId="0" borderId="5">
      <alignment horizontal="right" vertical="center" wrapText="1"/>
    </xf>
    <xf numFmtId="0" fontId="36" fillId="0" borderId="0">
      <alignment vertical="center"/>
    </xf>
    <xf numFmtId="178" fontId="5" fillId="0" borderId="5" applyProtection="0">
      <alignment horizontal="right" vertical="center" wrapText="1"/>
    </xf>
    <xf numFmtId="0" fontId="44" fillId="0" borderId="7">
      <alignment horizontal="left" vertical="center"/>
    </xf>
    <xf numFmtId="0" fontId="57" fillId="0" borderId="0" applyNumberFormat="0" applyAlignment="0">
      <alignment horizontal="left" vertical="center"/>
    </xf>
    <xf numFmtId="0" fontId="36" fillId="0" borderId="0"/>
    <xf numFmtId="185" fontId="64" fillId="0" borderId="0">
      <alignment horizontal="right" vertical="top"/>
    </xf>
    <xf numFmtId="0" fontId="36" fillId="0" borderId="0">
      <alignment vertical="center"/>
    </xf>
    <xf numFmtId="49" fontId="22" fillId="0" borderId="5">
      <alignment vertical="center" wrapText="1"/>
    </xf>
    <xf numFmtId="49" fontId="22" fillId="0" borderId="5">
      <alignment vertical="center" wrapText="1"/>
    </xf>
    <xf numFmtId="181" fontId="5" fillId="0" borderId="5">
      <alignment horizontal="right" vertical="center" wrapText="1"/>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13" borderId="0"/>
    <xf numFmtId="178" fontId="22"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44" fillId="0" borderId="7">
      <alignment horizontal="left" vertical="center"/>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36" fillId="0" borderId="0" applyProtection="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178" fontId="5" fillId="0" borderId="5">
      <alignment horizontal="right" vertical="center" wrapText="1"/>
    </xf>
    <xf numFmtId="0" fontId="36" fillId="0" borderId="0">
      <alignment vertical="center"/>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15" fontId="46" fillId="0" borderId="0">
      <alignment vertical="center"/>
    </xf>
    <xf numFmtId="49" fontId="22" fillId="0" borderId="5" applyProtection="0">
      <alignment horizontal="center" vertical="center" wrapText="1"/>
    </xf>
    <xf numFmtId="0" fontId="36" fillId="0" borderId="0">
      <alignment vertical="center"/>
    </xf>
    <xf numFmtId="0" fontId="36" fillId="0" borderId="0" applyProtection="0">
      <alignment vertical="center"/>
    </xf>
    <xf numFmtId="49" fontId="22" fillId="0" borderId="5" applyProtection="0">
      <alignment horizontal="center" vertical="center" wrapText="1"/>
    </xf>
    <xf numFmtId="0" fontId="22" fillId="6" borderId="7"/>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15" fontId="4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49" fontId="22" fillId="0" borderId="5">
      <alignment horizontal="center" vertical="center" wrapText="1"/>
    </xf>
    <xf numFmtId="0" fontId="36" fillId="0" borderId="0">
      <alignment vertical="center"/>
    </xf>
    <xf numFmtId="49" fontId="22" fillId="0" borderId="5">
      <alignment horizontal="center" vertical="center" wrapText="1"/>
    </xf>
    <xf numFmtId="0" fontId="22" fillId="6" borderId="7"/>
    <xf numFmtId="0" fontId="36" fillId="0" borderId="0">
      <alignment vertical="center"/>
    </xf>
    <xf numFmtId="178" fontId="5" fillId="0" borderId="5" applyProtection="0">
      <alignment horizontal="right" vertical="center" wrapText="1"/>
    </xf>
    <xf numFmtId="0" fontId="36" fillId="0" borderId="0">
      <alignment vertical="center"/>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22" fillId="0" borderId="0"/>
    <xf numFmtId="0" fontId="36" fillId="0" borderId="0">
      <alignment vertical="center"/>
    </xf>
    <xf numFmtId="178" fontId="5" fillId="0" borderId="5" applyProtection="0">
      <alignment horizontal="right" vertical="center" wrapText="1"/>
    </xf>
    <xf numFmtId="0" fontId="36" fillId="0" borderId="0">
      <alignment vertical="center"/>
    </xf>
    <xf numFmtId="178" fontId="5" fillId="0" borderId="5" applyProtection="0">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0" fontId="36" fillId="0" borderId="0">
      <alignment vertical="center"/>
    </xf>
    <xf numFmtId="178" fontId="5" fillId="0" borderId="5" applyProtection="0">
      <alignment horizontal="right"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pplyProtection="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197" fontId="38" fillId="5" borderId="5" applyNumberFormat="0" applyBorder="0" applyAlignment="0" applyProtection="0">
      <alignment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44" fillId="0" borderId="7">
      <alignment horizontal="left" vertical="center"/>
    </xf>
    <xf numFmtId="49"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22" fillId="0" borderId="0"/>
    <xf numFmtId="0" fontId="36" fillId="0" borderId="0">
      <alignment vertical="center"/>
    </xf>
    <xf numFmtId="49" fontId="5" fillId="0" borderId="5">
      <alignment vertical="center" wrapText="1"/>
    </xf>
    <xf numFmtId="49" fontId="5" fillId="0" borderId="5">
      <alignment vertical="center" wrapText="1"/>
    </xf>
    <xf numFmtId="49" fontId="22" fillId="0" borderId="0" applyFont="0" applyFill="0" applyBorder="0" applyAlignment="0" applyProtection="0"/>
    <xf numFmtId="0" fontId="36" fillId="0" borderId="0">
      <alignment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0" fillId="0" borderId="0">
      <alignment horizontal="center" vertical="center" wrapText="1"/>
      <protection locked="0"/>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22" fillId="0" borderId="0" applyFont="0" applyFill="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xf numFmtId="49" fontId="5" fillId="0" borderId="5" applyProtection="0">
      <alignment horizontal="center" vertical="center" wrapText="1"/>
    </xf>
    <xf numFmtId="49" fontId="5" fillId="0" borderId="5" applyProtection="0">
      <alignment horizontal="center" vertical="center" wrapText="1"/>
    </xf>
    <xf numFmtId="0" fontId="37" fillId="0" borderId="0">
      <alignment vertical="center"/>
    </xf>
    <xf numFmtId="177" fontId="19" fillId="0" borderId="0">
      <alignment vertical="center"/>
    </xf>
    <xf numFmtId="49" fontId="22" fillId="0" borderId="0"/>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7" fillId="0" borderId="0">
      <alignment vertical="center"/>
    </xf>
    <xf numFmtId="49" fontId="22" fillId="0" borderId="0" applyFont="0" applyFill="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0" fontId="36" fillId="0" borderId="0" applyProtection="0">
      <alignment vertical="center"/>
    </xf>
    <xf numFmtId="49" fontId="22" fillId="0" borderId="0"/>
    <xf numFmtId="0" fontId="37" fillId="0" borderId="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0" fontId="36" fillId="0" borderId="0" applyProtection="0">
      <alignment vertical="center"/>
    </xf>
    <xf numFmtId="49" fontId="22" fillId="0" borderId="0"/>
    <xf numFmtId="0" fontId="37" fillId="0" borderId="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0" fontId="36" fillId="0" borderId="0" applyProtection="0">
      <alignment vertical="center"/>
    </xf>
    <xf numFmtId="49" fontId="22" fillId="0" borderId="0"/>
    <xf numFmtId="49" fontId="22" fillId="0" borderId="0" applyFont="0" applyFill="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0" fontId="36" fillId="0" borderId="0" applyProtection="0">
      <alignment vertical="center"/>
    </xf>
    <xf numFmtId="49" fontId="22" fillId="0" borderId="0" applyFont="0" applyFill="0" applyBorder="0" applyAlignment="0" applyProtection="0">
      <alignment vertical="center"/>
    </xf>
    <xf numFmtId="49" fontId="22" fillId="0" borderId="0" applyFont="0" applyFill="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48" fillId="0" borderId="0" applyFont="0" applyFill="0" applyBorder="0" applyAlignment="0" applyProtection="0"/>
    <xf numFmtId="49" fontId="22" fillId="0" borderId="0" applyFont="0" applyFill="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48" fillId="0" borderId="0" applyFont="0" applyFill="0" applyBorder="0" applyAlignment="0" applyProtection="0"/>
    <xf numFmtId="49" fontId="22" fillId="0" borderId="0" applyFont="0" applyFill="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49" fontId="48" fillId="0" borderId="0" applyFont="0" applyFill="0" applyBorder="0" applyAlignment="0" applyProtection="0"/>
    <xf numFmtId="49" fontId="22" fillId="0" borderId="0" applyFont="0" applyFill="0" applyBorder="0" applyAlignment="0" applyProtection="0">
      <alignment vertical="center"/>
    </xf>
    <xf numFmtId="0" fontId="36" fillId="0" borderId="0"/>
    <xf numFmtId="49" fontId="22" fillId="0" borderId="0" applyFont="0" applyFill="0" applyBorder="0" applyAlignment="0" applyProtection="0"/>
    <xf numFmtId="49" fontId="5" fillId="0" borderId="5" applyProtection="0">
      <alignment vertical="center" wrapText="1"/>
    </xf>
    <xf numFmtId="0" fontId="41" fillId="0" borderId="0" applyNumberFormat="0" applyAlignment="0">
      <alignment horizontal="left"/>
    </xf>
    <xf numFmtId="49" fontId="22" fillId="0" borderId="5" applyProtection="0">
      <alignment horizontal="center" vertical="center" wrapText="1"/>
    </xf>
    <xf numFmtId="0" fontId="45" fillId="6" borderId="7" applyNumberFormat="0" applyFont="0" applyAlignment="0">
      <alignment horizontal="center"/>
    </xf>
    <xf numFmtId="0" fontId="36" fillId="0" borderId="0"/>
    <xf numFmtId="181" fontId="5" fillId="0" borderId="5" applyProtection="0">
      <alignment horizontal="right" vertical="center" wrapText="1"/>
    </xf>
    <xf numFmtId="181" fontId="5" fillId="0" borderId="5" applyProtection="0">
      <alignment horizontal="right" vertical="center" wrapText="1"/>
    </xf>
    <xf numFmtId="49" fontId="22" fillId="0" borderId="0"/>
    <xf numFmtId="49" fontId="22" fillId="0" borderId="5">
      <alignment vertical="center" wrapText="1"/>
    </xf>
    <xf numFmtId="49" fontId="22" fillId="0" borderId="0"/>
    <xf numFmtId="49" fontId="24" fillId="0" borderId="0">
      <alignment vertical="center"/>
    </xf>
    <xf numFmtId="0" fontId="36" fillId="0" borderId="0"/>
    <xf numFmtId="0" fontId="58" fillId="0" borderId="4" applyNumberFormat="0" applyFill="0" applyProtection="0">
      <alignment horizontal="center"/>
    </xf>
    <xf numFmtId="49" fontId="22" fillId="0" borderId="0"/>
    <xf numFmtId="181" fontId="22" fillId="0" borderId="5" applyProtection="0">
      <alignment horizontal="right" vertical="center" wrapText="1"/>
    </xf>
    <xf numFmtId="14" fontId="40" fillId="0" borderId="0">
      <alignment horizontal="center" vertical="center" wrapText="1"/>
      <protection locked="0"/>
    </xf>
    <xf numFmtId="0" fontId="36" fillId="0" borderId="0"/>
    <xf numFmtId="181" fontId="5" fillId="0" borderId="5" applyProtection="0">
      <alignment horizontal="right" vertical="center" wrapText="1"/>
    </xf>
    <xf numFmtId="181" fontId="5" fillId="0" borderId="5" applyProtection="0">
      <alignment horizontal="right" vertical="center" wrapText="1"/>
    </xf>
    <xf numFmtId="49" fontId="22" fillId="0" borderId="0"/>
    <xf numFmtId="181" fontId="22" fillId="0" borderId="5" applyProtection="0">
      <alignment horizontal="right" vertical="center" wrapText="1"/>
    </xf>
    <xf numFmtId="0" fontId="36" fillId="0" borderId="0"/>
    <xf numFmtId="49" fontId="22" fillId="0" borderId="5" applyProtection="0">
      <alignment vertical="center" wrapText="1"/>
    </xf>
    <xf numFmtId="49" fontId="22" fillId="0" borderId="5" applyProtection="0">
      <alignment vertical="center" wrapText="1"/>
    </xf>
    <xf numFmtId="49" fontId="22" fillId="0" borderId="0"/>
    <xf numFmtId="0" fontId="36" fillId="0" borderId="0" applyProtection="0">
      <alignment vertical="center"/>
    </xf>
    <xf numFmtId="49" fontId="22" fillId="0" borderId="0"/>
    <xf numFmtId="181" fontId="22" fillId="0" borderId="5" applyProtection="0">
      <alignment horizontal="right" vertical="center" wrapText="1"/>
    </xf>
    <xf numFmtId="0" fontId="36" fillId="0" borderId="0">
      <alignment vertical="center"/>
    </xf>
    <xf numFmtId="49" fontId="22" fillId="0" borderId="0"/>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0" fontId="36" fillId="0" borderId="0">
      <alignment vertical="center"/>
    </xf>
    <xf numFmtId="49" fontId="22" fillId="0"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49" fontId="48" fillId="0" borderId="0" applyFont="0" applyFill="0" applyBorder="0" applyAlignment="0" applyProtection="0"/>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xf numFmtId="49" fontId="48" fillId="0" borderId="0" applyFont="0" applyFill="0" applyBorder="0" applyAlignment="0" applyProtection="0"/>
    <xf numFmtId="49" fontId="22" fillId="0" borderId="5">
      <alignment vertical="center" wrapText="1"/>
    </xf>
    <xf numFmtId="0" fontId="36" fillId="0" borderId="0">
      <alignment vertical="center"/>
    </xf>
    <xf numFmtId="0" fontId="22" fillId="6" borderId="7"/>
    <xf numFmtId="49" fontId="48" fillId="0" borderId="0" applyFont="0" applyFill="0" applyBorder="0" applyAlignment="0" applyProtection="0"/>
    <xf numFmtId="195" fontId="19" fillId="0" borderId="0">
      <alignment vertical="center"/>
    </xf>
    <xf numFmtId="0" fontId="41" fillId="0" borderId="0" applyNumberFormat="0" applyAlignment="0">
      <alignment horizontal="left" vertical="center"/>
    </xf>
    <xf numFmtId="0" fontId="36" fillId="0" borderId="0">
      <alignment vertical="center"/>
    </xf>
    <xf numFmtId="0" fontId="22" fillId="6" borderId="7"/>
    <xf numFmtId="49" fontId="48" fillId="0" borderId="0" applyFont="0" applyFill="0" applyBorder="0" applyAlignment="0" applyProtection="0"/>
    <xf numFmtId="195" fontId="19" fillId="0" borderId="0">
      <alignment vertical="center"/>
    </xf>
    <xf numFmtId="0" fontId="41" fillId="0" borderId="0" applyNumberFormat="0" applyAlignment="0">
      <alignment horizontal="left" vertical="center"/>
    </xf>
    <xf numFmtId="0" fontId="36" fillId="0" borderId="0">
      <alignment vertical="center"/>
    </xf>
    <xf numFmtId="0" fontId="22" fillId="6" borderId="7"/>
    <xf numFmtId="49" fontId="48" fillId="0" borderId="0" applyFont="0" applyFill="0" applyBorder="0" applyAlignment="0" applyProtection="0"/>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xf numFmtId="49" fontId="24" fillId="0" borderId="0">
      <alignment vertical="center"/>
    </xf>
    <xf numFmtId="49" fontId="5" fillId="0" borderId="5" applyProtection="0">
      <alignment vertical="center" wrapText="1"/>
    </xf>
    <xf numFmtId="0" fontId="41" fillId="0" borderId="0" applyNumberFormat="0" applyAlignment="0">
      <alignment horizontal="left"/>
    </xf>
    <xf numFmtId="0" fontId="36" fillId="0" borderId="0">
      <alignment vertical="center"/>
    </xf>
    <xf numFmtId="0" fontId="36" fillId="0" borderId="0">
      <alignment vertical="center"/>
    </xf>
    <xf numFmtId="49" fontId="22" fillId="0" borderId="0"/>
    <xf numFmtId="0" fontId="36" fillId="0" borderId="0">
      <alignment vertical="center"/>
    </xf>
    <xf numFmtId="0" fontId="36" fillId="0" borderId="0">
      <alignment vertical="center"/>
    </xf>
    <xf numFmtId="49" fontId="22" fillId="0" borderId="0"/>
    <xf numFmtId="49" fontId="22" fillId="0" borderId="0"/>
    <xf numFmtId="49" fontId="22" fillId="0" borderId="0"/>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49" fontId="22" fillId="0" borderId="0"/>
    <xf numFmtId="0" fontId="36" fillId="0" borderId="0" applyProtection="0">
      <alignment vertical="center"/>
    </xf>
    <xf numFmtId="49" fontId="22" fillId="0" borderId="0"/>
    <xf numFmtId="49" fontId="22" fillId="0" borderId="0"/>
    <xf numFmtId="49" fontId="22" fillId="0" borderId="0"/>
    <xf numFmtId="0" fontId="36" fillId="0" borderId="0">
      <alignment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44" fillId="0" borderId="7">
      <alignment horizontal="left" vertical="center"/>
    </xf>
    <xf numFmtId="0" fontId="36" fillId="0" borderId="0"/>
    <xf numFmtId="49" fontId="22" fillId="0" borderId="0"/>
    <xf numFmtId="181" fontId="22" fillId="0" borderId="5">
      <alignment horizontal="right" vertical="center" wrapText="1"/>
    </xf>
    <xf numFmtId="181" fontId="22" fillId="0" borderId="5">
      <alignment horizontal="right" vertical="center" wrapText="1"/>
    </xf>
    <xf numFmtId="177" fontId="19" fillId="0" borderId="0">
      <alignment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44" fillId="0" borderId="7">
      <alignment horizontal="left" vertical="center"/>
    </xf>
    <xf numFmtId="49" fontId="22" fillId="0" borderId="0" applyFont="0" applyFill="0" applyBorder="0" applyAlignment="0" applyProtection="0">
      <alignment vertical="center"/>
    </xf>
    <xf numFmtId="181" fontId="22" fillId="0" borderId="5">
      <alignment horizontal="right" vertical="center" wrapText="1"/>
    </xf>
    <xf numFmtId="181" fontId="22" fillId="0" borderId="5">
      <alignment horizontal="right" vertical="center" wrapText="1"/>
    </xf>
    <xf numFmtId="177" fontId="19"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44" fillId="0" borderId="7">
      <alignment horizontal="left" vertical="center"/>
    </xf>
    <xf numFmtId="49" fontId="22" fillId="0" borderId="0" applyFont="0" applyFill="0" applyBorder="0" applyAlignment="0" applyProtection="0">
      <alignment vertical="center"/>
    </xf>
    <xf numFmtId="49" fontId="22" fillId="0" borderId="0" applyProtection="0">
      <alignment vertical="center"/>
    </xf>
    <xf numFmtId="177" fontId="19" fillId="0" borderId="0">
      <alignment vertical="center"/>
    </xf>
    <xf numFmtId="49" fontId="22" fillId="0" borderId="5" applyProtection="0">
      <alignment horizontal="center" vertical="center" wrapText="1"/>
    </xf>
    <xf numFmtId="0" fontId="45" fillId="6" borderId="7" applyNumberFormat="0" applyFont="0" applyAlignment="0">
      <alignment horizontal="center"/>
    </xf>
    <xf numFmtId="0" fontId="36" fillId="0" borderId="0"/>
    <xf numFmtId="49" fontId="22" fillId="0" borderId="0" applyProtection="0">
      <alignment vertical="center"/>
    </xf>
    <xf numFmtId="0" fontId="45" fillId="6" borderId="7" applyNumberFormat="0" applyFont="0" applyAlignment="0">
      <alignment horizontal="center"/>
    </xf>
    <xf numFmtId="0" fontId="36" fillId="0" borderId="0">
      <alignment vertical="center"/>
    </xf>
    <xf numFmtId="49" fontId="22" fillId="0" borderId="5">
      <alignment vertical="center" wrapText="1"/>
    </xf>
    <xf numFmtId="49" fontId="22"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45" fillId="6" borderId="7" applyNumberFormat="0" applyFont="0" applyAlignment="0">
      <alignment horizontal="center"/>
    </xf>
    <xf numFmtId="0" fontId="36" fillId="0" borderId="0">
      <alignment vertical="center"/>
    </xf>
    <xf numFmtId="49" fontId="22" fillId="0" borderId="5">
      <alignment vertical="center" wrapText="1"/>
    </xf>
    <xf numFmtId="49" fontId="22" fillId="0" borderId="0"/>
    <xf numFmtId="178" fontId="5" fillId="0" borderId="5" applyProtection="0">
      <alignment horizontal="right" vertical="center" wrapText="1"/>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57" fillId="0" borderId="0"/>
    <xf numFmtId="49" fontId="22" fillId="0" borderId="5">
      <alignment vertical="center" wrapText="1"/>
    </xf>
    <xf numFmtId="49" fontId="22" fillId="0" borderId="0"/>
    <xf numFmtId="49" fontId="5" fillId="0" borderId="5" applyProtection="0">
      <alignment horizontal="center" vertical="center" wrapText="1"/>
    </xf>
    <xf numFmtId="49" fontId="5" fillId="0" borderId="5" applyProtection="0">
      <alignment horizontal="center" vertical="center" wrapText="1"/>
    </xf>
    <xf numFmtId="0" fontId="57" fillId="0" borderId="0"/>
    <xf numFmtId="49" fontId="22" fillId="0" borderId="5">
      <alignment vertical="center" wrapText="1"/>
    </xf>
    <xf numFmtId="49" fontId="22" fillId="0" borderId="0"/>
    <xf numFmtId="49" fontId="22"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57" fillId="0" borderId="0"/>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lignment vertical="center" wrapText="1"/>
    </xf>
    <xf numFmtId="49" fontId="22" fillId="0" borderId="0" applyProtection="0">
      <alignment vertical="center"/>
    </xf>
    <xf numFmtId="49" fontId="22"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57" fillId="0" borderId="0"/>
    <xf numFmtId="0" fontId="44" fillId="0" borderId="7">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lignment vertical="center" wrapText="1"/>
    </xf>
    <xf numFmtId="49" fontId="22" fillId="0" borderId="0" applyProtection="0"/>
    <xf numFmtId="49" fontId="22"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57" fillId="0" borderId="0"/>
    <xf numFmtId="0" fontId="44" fillId="0" borderId="7">
      <alignment horizontal="left" vertical="center"/>
    </xf>
    <xf numFmtId="49" fontId="22" fillId="0" borderId="5">
      <alignment vertical="center" wrapText="1"/>
    </xf>
    <xf numFmtId="49" fontId="22" fillId="0" borderId="0" applyProtection="0"/>
    <xf numFmtId="49" fontId="22" fillId="0" borderId="0" applyProtection="0">
      <alignment vertical="center"/>
    </xf>
    <xf numFmtId="0" fontId="57" fillId="0"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36" fillId="0" borderId="0" applyProtection="0">
      <alignment vertical="center"/>
    </xf>
    <xf numFmtId="0" fontId="36" fillId="0" borderId="0"/>
    <xf numFmtId="49" fontId="22" fillId="0" borderId="0" applyProtection="0"/>
    <xf numFmtId="49" fontId="22" fillId="0" borderId="0" applyProtection="0">
      <alignment vertical="center"/>
    </xf>
    <xf numFmtId="0" fontId="57" fillId="0" borderId="0"/>
    <xf numFmtId="0" fontId="44" fillId="0" borderId="7">
      <alignment horizontal="left" vertical="center"/>
    </xf>
    <xf numFmtId="49" fontId="22" fillId="0" borderId="0"/>
    <xf numFmtId="0" fontId="36" fillId="0" borderId="0">
      <alignment vertical="center"/>
    </xf>
    <xf numFmtId="49" fontId="22" fillId="0" borderId="5" applyProtection="0">
      <alignment vertical="center" wrapText="1"/>
    </xf>
    <xf numFmtId="0" fontId="44" fillId="0" borderId="7">
      <alignment horizontal="left" vertical="center"/>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0"/>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0"/>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0"/>
    <xf numFmtId="0" fontId="43" fillId="7" borderId="3">
      <alignment vertical="center"/>
      <protection locked="0"/>
    </xf>
    <xf numFmtId="0" fontId="36" fillId="0" borderId="0">
      <alignment vertical="center"/>
    </xf>
    <xf numFmtId="0" fontId="36" fillId="0" borderId="0">
      <alignment vertical="center"/>
    </xf>
    <xf numFmtId="0" fontId="36" fillId="0" borderId="0">
      <alignment vertical="center"/>
    </xf>
    <xf numFmtId="0" fontId="63" fillId="18" borderId="31">
      <alignment horizontal="left" vertical="center" indent="1"/>
    </xf>
    <xf numFmtId="0" fontId="36" fillId="0" borderId="0"/>
    <xf numFmtId="178" fontId="5" fillId="0" borderId="5" applyProtection="0">
      <alignment horizontal="right" vertical="center" wrapText="1"/>
    </xf>
    <xf numFmtId="178" fontId="5" fillId="0" borderId="5" applyProtection="0">
      <alignment horizontal="right" vertical="center" wrapText="1"/>
    </xf>
    <xf numFmtId="49" fontId="22" fillId="0" borderId="0"/>
    <xf numFmtId="0" fontId="36" fillId="0" borderId="0">
      <alignment vertical="center"/>
    </xf>
    <xf numFmtId="0" fontId="36" fillId="0" borderId="0">
      <alignment vertical="center"/>
    </xf>
    <xf numFmtId="0" fontId="63" fillId="18" borderId="31">
      <alignment horizontal="left" vertical="center" indent="1"/>
    </xf>
    <xf numFmtId="0" fontId="36" fillId="0" borderId="0"/>
    <xf numFmtId="49" fontId="22" fillId="0" borderId="0"/>
    <xf numFmtId="49" fontId="22" fillId="0" borderId="0"/>
    <xf numFmtId="49" fontId="22" fillId="0" borderId="0"/>
    <xf numFmtId="49" fontId="22" fillId="0" borderId="0"/>
    <xf numFmtId="0" fontId="36" fillId="0" borderId="0"/>
    <xf numFmtId="0" fontId="36" fillId="0" borderId="0" applyProtection="0"/>
    <xf numFmtId="185" fontId="64" fillId="0" borderId="0" applyBorder="0">
      <alignment horizontal="right" vertical="top"/>
    </xf>
    <xf numFmtId="181" fontId="22" fillId="0" borderId="5" applyProtection="0">
      <alignment horizontal="right" vertical="center" wrapText="1"/>
    </xf>
    <xf numFmtId="49" fontId="22" fillId="0" borderId="0" applyProtection="0"/>
    <xf numFmtId="0" fontId="36" fillId="0" borderId="0"/>
    <xf numFmtId="0" fontId="57" fillId="0" borderId="0"/>
    <xf numFmtId="198" fontId="66" fillId="0" borderId="0">
      <alignment horizontal="left" vertical="top"/>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xf numFmtId="0" fontId="36" fillId="0" borderId="0"/>
    <xf numFmtId="181" fontId="22" fillId="0" borderId="5" applyProtection="0">
      <alignment horizontal="right" vertical="center" wrapText="1"/>
    </xf>
    <xf numFmtId="49" fontId="22" fillId="0" borderId="0" applyProtection="0"/>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36" fillId="0" borderId="0" applyProtection="0">
      <alignment vertical="center"/>
    </xf>
    <xf numFmtId="181" fontId="22" fillId="0" borderId="5" applyProtection="0">
      <alignment horizontal="right" vertical="center" wrapText="1"/>
    </xf>
    <xf numFmtId="49" fontId="22" fillId="0" borderId="0" applyProtection="0"/>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0" fontId="36" fillId="0" borderId="0" applyProtection="0">
      <alignment vertical="center"/>
    </xf>
    <xf numFmtId="181" fontId="22" fillId="0" borderId="5" applyProtection="0">
      <alignment horizontal="right" vertical="center" wrapText="1"/>
    </xf>
    <xf numFmtId="49" fontId="22" fillId="0" borderId="0" applyProtection="0"/>
    <xf numFmtId="49" fontId="22" fillId="0" borderId="0"/>
    <xf numFmtId="49" fontId="22" fillId="0" borderId="5">
      <alignment vertical="center" wrapText="1"/>
    </xf>
    <xf numFmtId="49" fontId="22" fillId="0" borderId="5">
      <alignment vertical="center" wrapText="1"/>
    </xf>
    <xf numFmtId="49" fontId="22" fillId="0" borderId="0"/>
    <xf numFmtId="49" fontId="5" fillId="0" borderId="5" applyProtection="0">
      <alignment vertical="center" wrapText="1"/>
    </xf>
    <xf numFmtId="49" fontId="5" fillId="0" borderId="5" applyProtection="0">
      <alignment vertical="center" wrapText="1"/>
    </xf>
    <xf numFmtId="0" fontId="37" fillId="0" borderId="0">
      <alignment vertical="center"/>
    </xf>
    <xf numFmtId="49" fontId="22" fillId="0" borderId="5" applyProtection="0">
      <alignment vertical="center" wrapText="1"/>
    </xf>
    <xf numFmtId="177" fontId="19" fillId="0" borderId="0"/>
    <xf numFmtId="49" fontId="22" fillId="0" borderId="5">
      <alignment vertical="center" wrapText="1"/>
    </xf>
    <xf numFmtId="49" fontId="22" fillId="0" borderId="5">
      <alignment vertical="center" wrapText="1"/>
    </xf>
    <xf numFmtId="49" fontId="22" fillId="0" borderId="0"/>
    <xf numFmtId="49" fontId="22" fillId="0" borderId="5">
      <alignment vertical="center" wrapText="1"/>
    </xf>
    <xf numFmtId="49" fontId="22" fillId="0" borderId="5">
      <alignment vertical="center" wrapText="1"/>
    </xf>
    <xf numFmtId="49" fontId="22" fillId="0" borderId="0"/>
    <xf numFmtId="0" fontId="36" fillId="0" borderId="0">
      <alignment vertical="center"/>
    </xf>
    <xf numFmtId="0" fontId="36" fillId="0" borderId="0">
      <alignment vertical="center"/>
    </xf>
    <xf numFmtId="49" fontId="22" fillId="0" borderId="5" applyProtection="0">
      <alignment horizontal="center" vertical="center" wrapText="1"/>
    </xf>
    <xf numFmtId="49" fontId="22" fillId="0" borderId="5" applyProtection="0">
      <alignment vertical="center" wrapText="1"/>
    </xf>
    <xf numFmtId="178" fontId="5" fillId="0" borderId="5">
      <alignment horizontal="right" vertical="center" wrapText="1"/>
    </xf>
    <xf numFmtId="0" fontId="36" fillId="0" borderId="0">
      <alignment vertical="center"/>
    </xf>
    <xf numFmtId="49" fontId="22" fillId="0" borderId="0"/>
    <xf numFmtId="0" fontId="36" fillId="0" borderId="0">
      <alignment vertical="center"/>
    </xf>
    <xf numFmtId="0" fontId="36" fillId="0" borderId="0">
      <alignment vertical="center"/>
    </xf>
    <xf numFmtId="49" fontId="22" fillId="0" borderId="5" applyProtection="0">
      <alignment horizontal="center" vertical="center" wrapText="1"/>
    </xf>
    <xf numFmtId="178" fontId="5" fillId="0" borderId="5">
      <alignment horizontal="right" vertical="center" wrapText="1"/>
    </xf>
    <xf numFmtId="0" fontId="36" fillId="0" borderId="0">
      <alignment vertical="center"/>
    </xf>
    <xf numFmtId="49" fontId="22" fillId="0" borderId="0"/>
    <xf numFmtId="49" fontId="22" fillId="0" borderId="0"/>
    <xf numFmtId="49" fontId="22" fillId="0" borderId="0"/>
    <xf numFmtId="49" fontId="22" fillId="0" borderId="0"/>
    <xf numFmtId="0" fontId="36" fillId="0" borderId="0" applyProtection="0">
      <alignment vertical="center"/>
    </xf>
    <xf numFmtId="0" fontId="61" fillId="14" borderId="0" applyNumberFormat="0" applyBorder="0" applyAlignment="0" applyProtection="0">
      <alignment vertical="center"/>
    </xf>
    <xf numFmtId="0" fontId="40" fillId="0" borderId="0">
      <alignment horizontal="center" vertical="center" wrapText="1"/>
      <protection locked="0"/>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181" fontId="22" fillId="0" borderId="5" applyProtection="0">
      <alignment horizontal="right" vertical="center" wrapText="1"/>
    </xf>
    <xf numFmtId="0" fontId="36" fillId="0" borderId="0"/>
    <xf numFmtId="0" fontId="36" fillId="0" borderId="0"/>
    <xf numFmtId="49" fontId="22" fillId="0" borderId="5" applyProtection="0">
      <alignment horizontal="center" vertical="center" wrapText="1"/>
    </xf>
    <xf numFmtId="49" fontId="22"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0" fontId="36" fillId="0" borderId="0"/>
    <xf numFmtId="0" fontId="36" fillId="0" borderId="0"/>
    <xf numFmtId="49" fontId="22" fillId="0" borderId="5" applyProtection="0">
      <alignment horizontal="center" vertical="center" wrapText="1"/>
    </xf>
    <xf numFmtId="49" fontId="22" fillId="0" borderId="5" applyProtection="0">
      <alignment horizontal="center" vertical="center" wrapText="1"/>
    </xf>
    <xf numFmtId="0" fontId="49" fillId="11"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0" fontId="36" fillId="0" borderId="0"/>
    <xf numFmtId="0" fontId="53" fillId="0" borderId="25">
      <alignment horizontal="center" vertical="center"/>
    </xf>
    <xf numFmtId="49" fontId="22" fillId="0" borderId="5" applyProtection="0">
      <alignment vertical="center" wrapText="1"/>
    </xf>
    <xf numFmtId="49" fontId="22" fillId="0" borderId="5" applyProtection="0">
      <alignment vertical="center" wrapText="1"/>
    </xf>
    <xf numFmtId="0" fontId="36" fillId="0" borderId="0"/>
    <xf numFmtId="0" fontId="22" fillId="0" borderId="0" applyNumberFormat="0" applyFont="0" applyFill="0" applyBorder="0" applyAlignment="0" applyProtection="0">
      <alignment horizontal="lef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pplyProtection="0">
      <alignment vertical="center"/>
    </xf>
    <xf numFmtId="0" fontId="36" fillId="0" borderId="0" applyProtection="0">
      <alignment vertical="center"/>
    </xf>
    <xf numFmtId="0" fontId="49" fillId="9" borderId="0" applyProtection="0">
      <alignment vertical="center"/>
    </xf>
    <xf numFmtId="49" fontId="22" fillId="0" borderId="5">
      <alignment vertical="center" wrapText="1"/>
    </xf>
    <xf numFmtId="0" fontId="36" fillId="0" borderId="0"/>
    <xf numFmtId="0" fontId="36" fillId="0" borderId="0"/>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181"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0" fontId="36" fillId="0" borderId="0"/>
    <xf numFmtId="0" fontId="53" fillId="0" borderId="0">
      <alignment horizontal="center" vertical="center"/>
    </xf>
    <xf numFmtId="0" fontId="36" fillId="0" borderId="0"/>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0" fontId="36" fillId="0" borderId="0"/>
    <xf numFmtId="181" fontId="5" fillId="0" borderId="5" applyProtection="0">
      <alignment horizontal="right" vertical="center" wrapText="1"/>
    </xf>
    <xf numFmtId="0" fontId="36" fillId="0" borderId="0">
      <alignment vertical="center"/>
    </xf>
    <xf numFmtId="0" fontId="36" fillId="0" borderId="0">
      <alignment vertical="center"/>
    </xf>
    <xf numFmtId="0" fontId="36" fillId="0" borderId="0"/>
    <xf numFmtId="0" fontId="36" fillId="0" borderId="0"/>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0" fontId="36" fillId="0" borderId="0"/>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181"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0" fontId="36" fillId="0" borderId="0"/>
    <xf numFmtId="0" fontId="53" fillId="0" borderId="0">
      <alignment horizontal="center" vertical="center"/>
    </xf>
    <xf numFmtId="0" fontId="36" fillId="0" borderId="0"/>
    <xf numFmtId="49" fontId="22" fillId="0" borderId="5">
      <alignment horizontal="center" vertical="center" wrapText="1"/>
    </xf>
    <xf numFmtId="0" fontId="24" fillId="0" borderId="0">
      <alignment vertical="center"/>
    </xf>
    <xf numFmtId="0" fontId="22" fillId="0" borderId="0">
      <alignment vertical="center"/>
    </xf>
    <xf numFmtId="0" fontId="57" fillId="0" borderId="0" applyNumberFormat="0" applyAlignment="0">
      <alignment horizontal="lef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0" fontId="36" fillId="0" borderId="0"/>
    <xf numFmtId="181" fontId="5" fillId="0" borderId="5" applyProtection="0">
      <alignment horizontal="right" vertical="center" wrapText="1"/>
    </xf>
    <xf numFmtId="0" fontId="36" fillId="0" borderId="0">
      <alignment vertical="center"/>
    </xf>
    <xf numFmtId="0" fontId="36" fillId="0" borderId="0">
      <alignment vertical="center"/>
    </xf>
    <xf numFmtId="0" fontId="36" fillId="0" borderId="0"/>
    <xf numFmtId="49" fontId="22" fillId="0" borderId="5" applyProtection="0">
      <alignment horizontal="center" vertical="center" wrapText="1"/>
    </xf>
    <xf numFmtId="0" fontId="57" fillId="0" borderId="0"/>
    <xf numFmtId="0" fontId="36" fillId="0" borderId="0"/>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49" fontId="22" fillId="0" borderId="5" applyProtection="0">
      <alignment horizontal="center" vertical="center" wrapText="1"/>
    </xf>
    <xf numFmtId="0" fontId="57" fillId="0" borderId="0"/>
    <xf numFmtId="0" fontId="36" fillId="0" borderId="0"/>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49" fontId="22" fillId="0" borderId="5" applyProtection="0">
      <alignment horizontal="center" vertical="center" wrapText="1"/>
    </xf>
    <xf numFmtId="0" fontId="57" fillId="0" borderId="0" applyNumberFormat="0" applyAlignment="0">
      <alignment horizontal="left" vertical="center"/>
    </xf>
    <xf numFmtId="0" fontId="57" fillId="0" borderId="0"/>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xf numFmtId="49" fontId="22" fillId="0" borderId="5" applyProtection="0">
      <alignment horizontal="center" vertical="center" wrapText="1"/>
    </xf>
    <xf numFmtId="0" fontId="57" fillId="0" borderId="0" applyNumberFormat="0" applyAlignment="0">
      <alignment horizontal="left" vertical="center"/>
    </xf>
    <xf numFmtId="0" fontId="57" fillId="0" borderId="0" applyNumberFormat="0" applyAlignment="0">
      <alignment horizontal="lef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xf numFmtId="49" fontId="22" fillId="0" borderId="5" applyProtection="0">
      <alignment horizontal="center" vertical="center" wrapText="1"/>
    </xf>
    <xf numFmtId="0" fontId="57" fillId="0" borderId="0" applyNumberFormat="0" applyAlignment="0">
      <alignment horizontal="left" vertical="center"/>
    </xf>
    <xf numFmtId="0" fontId="57" fillId="0" borderId="0" applyNumberFormat="0" applyAlignment="0">
      <alignment horizontal="left"/>
    </xf>
    <xf numFmtId="0" fontId="36" fillId="0" borderId="0" applyProtection="0">
      <alignment vertical="center"/>
    </xf>
    <xf numFmtId="0" fontId="36" fillId="0" borderId="0"/>
    <xf numFmtId="0" fontId="36" fillId="0" borderId="0" applyProtection="0">
      <alignment vertical="center"/>
    </xf>
    <xf numFmtId="0" fontId="36" fillId="0" borderId="0" applyProtection="0">
      <alignment vertical="center"/>
    </xf>
    <xf numFmtId="0" fontId="36" fillId="0" borderId="0" applyProtection="0">
      <alignment vertical="center"/>
    </xf>
    <xf numFmtId="0" fontId="22" fillId="6" borderId="7"/>
    <xf numFmtId="0" fontId="36" fillId="0" borderId="0" applyProtection="0">
      <alignment vertical="center"/>
    </xf>
    <xf numFmtId="0" fontId="52" fillId="10" borderId="0"/>
    <xf numFmtId="0" fontId="44" fillId="0" borderId="7">
      <alignment horizontal="left" vertical="center"/>
    </xf>
    <xf numFmtId="0" fontId="36" fillId="0" borderId="0">
      <alignment vertical="center"/>
    </xf>
    <xf numFmtId="0" fontId="36" fillId="0" borderId="0"/>
    <xf numFmtId="0" fontId="44" fillId="0" borderId="7">
      <alignment horizontal="left" vertical="center"/>
    </xf>
    <xf numFmtId="181" fontId="22" fillId="0" borderId="5">
      <alignment horizontal="right" vertical="center" wrapText="1"/>
    </xf>
    <xf numFmtId="181" fontId="22" fillId="0" borderId="5">
      <alignment horizontal="right" vertical="center" wrapText="1"/>
    </xf>
    <xf numFmtId="0" fontId="22" fillId="6" borderId="7"/>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22" fillId="6" borderId="7"/>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lignment vertical="center" wrapText="1"/>
    </xf>
    <xf numFmtId="0" fontId="36" fillId="0" borderId="0">
      <alignment vertical="center"/>
    </xf>
    <xf numFmtId="0" fontId="44" fillId="0" borderId="7">
      <alignment horizontal="left" vertical="center"/>
    </xf>
    <xf numFmtId="0" fontId="36" fillId="0" borderId="0"/>
    <xf numFmtId="0" fontId="36" fillId="0" borderId="0"/>
    <xf numFmtId="0" fontId="36" fillId="0" borderId="0">
      <alignment vertical="center"/>
    </xf>
    <xf numFmtId="181" fontId="5" fillId="0" borderId="5" applyProtection="0">
      <alignment horizontal="right" vertical="center" wrapText="1"/>
    </xf>
    <xf numFmtId="0" fontId="36" fillId="0" borderId="0">
      <alignment vertical="center"/>
    </xf>
    <xf numFmtId="189" fontId="48" fillId="0" borderId="0" applyFill="0" applyBorder="0" applyAlignment="0">
      <alignment vertical="center"/>
    </xf>
    <xf numFmtId="49" fontId="22" fillId="0" borderId="5" applyProtection="0">
      <alignment horizontal="center" vertical="center" wrapText="1"/>
    </xf>
    <xf numFmtId="181" fontId="22" fillId="0" borderId="5">
      <alignment horizontal="right" vertical="center" wrapText="1"/>
    </xf>
    <xf numFmtId="0" fontId="36" fillId="0" borderId="0"/>
    <xf numFmtId="0" fontId="53" fillId="0" borderId="0">
      <alignment horizontal="center" vertical="center"/>
    </xf>
    <xf numFmtId="40" fontId="35" fillId="0" borderId="0" applyBorder="0">
      <alignment horizontal="right"/>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61" fillId="11" borderId="0" applyNumberFormat="0" applyBorder="0" applyAlignment="0" applyProtection="0">
      <alignment vertical="center"/>
    </xf>
    <xf numFmtId="0" fontId="43" fillId="7" borderId="3">
      <alignment vertical="center"/>
      <protection locked="0"/>
    </xf>
    <xf numFmtId="0" fontId="36" fillId="0" borderId="0"/>
    <xf numFmtId="0" fontId="36" fillId="0" borderId="0">
      <alignment vertical="center"/>
    </xf>
    <xf numFmtId="49" fontId="22" fillId="0" borderId="5" applyProtection="0">
      <alignment horizontal="center" vertical="center" wrapText="1"/>
    </xf>
    <xf numFmtId="181" fontId="22" fillId="0" borderId="5">
      <alignment horizontal="right" vertical="center" wrapText="1"/>
    </xf>
    <xf numFmtId="0" fontId="36" fillId="0" borderId="0"/>
    <xf numFmtId="181" fontId="5" fillId="0" borderId="5" applyProtection="0">
      <alignment horizontal="right" vertical="center" wrapText="1"/>
    </xf>
    <xf numFmtId="0" fontId="36" fillId="0" borderId="0">
      <alignment vertical="center"/>
    </xf>
    <xf numFmtId="40" fontId="35" fillId="0" borderId="0" applyBorder="0">
      <alignment horizontal="right"/>
    </xf>
    <xf numFmtId="0" fontId="36" fillId="0" borderId="0">
      <alignment vertical="center"/>
    </xf>
    <xf numFmtId="0" fontId="61" fillId="11" borderId="0" applyNumberFormat="0" applyBorder="0" applyAlignment="0" applyProtection="0">
      <alignment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41" fillId="0" borderId="0"/>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41" fillId="0" borderId="0"/>
    <xf numFmtId="49" fontId="22" fillId="0" borderId="5" applyProtection="0">
      <alignment vertical="center" wrapText="1"/>
    </xf>
    <xf numFmtId="0" fontId="36" fillId="0" borderId="0">
      <alignment vertical="center"/>
    </xf>
    <xf numFmtId="0" fontId="53" fillId="0" borderId="0">
      <alignment horizont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43" fillId="7" borderId="3">
      <alignment vertical="center"/>
      <protection locked="0"/>
    </xf>
    <xf numFmtId="0" fontId="36" fillId="0" borderId="0"/>
    <xf numFmtId="0" fontId="36" fillId="0" borderId="0">
      <alignment vertical="center"/>
    </xf>
    <xf numFmtId="0" fontId="61" fillId="11"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24" fillId="22" borderId="0" applyProtection="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24" fillId="15" borderId="0" applyNumberFormat="0" applyBorder="0" applyAlignment="0" applyProtection="0">
      <alignment vertical="center"/>
    </xf>
    <xf numFmtId="0" fontId="36" fillId="0" borderId="0">
      <alignment vertical="center"/>
    </xf>
    <xf numFmtId="49" fontId="22" fillId="0" borderId="5" applyProtection="0">
      <alignment horizontal="center" vertical="center" wrapText="1"/>
    </xf>
    <xf numFmtId="0" fontId="36" fillId="0" borderId="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10" borderId="0" applyProtection="0">
      <alignment vertical="center"/>
    </xf>
    <xf numFmtId="49" fontId="22" fillId="0" borderId="5">
      <alignment horizontal="center" vertical="center" wrapText="1"/>
    </xf>
    <xf numFmtId="49" fontId="22" fillId="0" borderId="5">
      <alignment horizontal="center" vertical="center" wrapText="1"/>
    </xf>
    <xf numFmtId="0" fontId="53" fillId="0" borderId="0">
      <alignment horizontal="center" vertical="center"/>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14" borderId="0"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0" fontId="53" fillId="0" borderId="0">
      <alignment horizontal="center"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21" borderId="0" applyProtection="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5" borderId="0" applyNumberFormat="0" applyBorder="0" applyAlignment="0" applyProtection="0">
      <alignment vertical="center"/>
    </xf>
    <xf numFmtId="40" fontId="35" fillId="0" borderId="0" applyBorder="0">
      <alignment horizontal="right" vertical="center"/>
    </xf>
    <xf numFmtId="40" fontId="35" fillId="0" borderId="0" applyBorder="0">
      <alignment horizontal="right" vertical="center"/>
    </xf>
    <xf numFmtId="0" fontId="36" fillId="0" borderId="0">
      <alignment vertical="center"/>
    </xf>
    <xf numFmtId="0" fontId="36" fillId="0" borderId="0">
      <alignment vertical="center"/>
    </xf>
    <xf numFmtId="0" fontId="61" fillId="11" borderId="0" applyNumberFormat="0" applyBorder="0" applyAlignment="0" applyProtection="0">
      <alignment vertical="center"/>
    </xf>
    <xf numFmtId="0" fontId="36" fillId="0" borderId="0">
      <alignment vertical="center"/>
    </xf>
    <xf numFmtId="0" fontId="36" fillId="0" borderId="0"/>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49" fontId="22" fillId="0" borderId="5" applyProtection="0">
      <alignment horizontal="center" vertical="center" wrapText="1"/>
    </xf>
    <xf numFmtId="0" fontId="36" fillId="0" borderId="0">
      <alignment vertical="center"/>
    </xf>
    <xf numFmtId="0" fontId="36" fillId="0" borderId="0">
      <alignment vertical="center"/>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xf numFmtId="49" fontId="22" fillId="0" borderId="5" applyProtection="0">
      <alignment horizontal="center" vertical="center" wrapText="1"/>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0" fontId="36" fillId="0" borderId="0">
      <alignment vertical="center"/>
    </xf>
    <xf numFmtId="0" fontId="36" fillId="0" borderId="0"/>
    <xf numFmtId="178" fontId="22" fillId="0" borderId="5">
      <alignment horizontal="right" vertical="center" wrapText="1"/>
    </xf>
    <xf numFmtId="178" fontId="22" fillId="0" borderId="5">
      <alignment horizontal="right" vertical="center" wrapText="1"/>
    </xf>
    <xf numFmtId="0" fontId="36" fillId="0" borderId="0">
      <alignment vertical="center"/>
    </xf>
    <xf numFmtId="49" fontId="22" fillId="0" borderId="5" applyProtection="0">
      <alignment horizontal="center" vertical="center" wrapText="1"/>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0" fontId="36" fillId="0" borderId="0">
      <alignment vertical="center"/>
    </xf>
    <xf numFmtId="0" fontId="36" fillId="0" borderId="0"/>
    <xf numFmtId="178" fontId="22" fillId="0" borderId="5">
      <alignment horizontal="right" vertical="center" wrapText="1"/>
    </xf>
    <xf numFmtId="178" fontId="22" fillId="0" borderId="5">
      <alignment horizontal="right" vertical="center" wrapText="1"/>
    </xf>
    <xf numFmtId="0" fontId="36" fillId="0" borderId="0"/>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36" fillId="0" borderId="0">
      <alignment vertical="center"/>
    </xf>
    <xf numFmtId="49" fontId="5" fillId="0" borderId="5">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49" fontId="22" fillId="0" borderId="5" applyProtection="0">
      <alignment horizontal="center" vertical="center" wrapText="1"/>
    </xf>
    <xf numFmtId="0" fontId="36" fillId="0" borderId="0"/>
    <xf numFmtId="0" fontId="36" fillId="0" borderId="0">
      <alignment vertical="center"/>
    </xf>
    <xf numFmtId="0" fontId="36" fillId="0" borderId="0">
      <alignment vertical="center"/>
    </xf>
    <xf numFmtId="181" fontId="5" fillId="0" borderId="5" applyProtection="0">
      <alignment horizontal="right" vertical="center" wrapText="1"/>
    </xf>
    <xf numFmtId="0" fontId="36" fillId="0" borderId="0">
      <alignment vertical="center"/>
    </xf>
    <xf numFmtId="0" fontId="36" fillId="0" borderId="0"/>
    <xf numFmtId="181" fontId="5" fillId="0" borderId="5" applyProtection="0">
      <alignment horizontal="right" vertical="center" wrapText="1"/>
    </xf>
    <xf numFmtId="0" fontId="19" fillId="0" borderId="0">
      <alignment vertical="center"/>
    </xf>
    <xf numFmtId="0" fontId="36" fillId="0" borderId="0">
      <alignment vertical="center"/>
    </xf>
    <xf numFmtId="0" fontId="36" fillId="0" borderId="0">
      <alignment vertical="center"/>
    </xf>
    <xf numFmtId="0" fontId="47" fillId="0" borderId="0">
      <alignment vertical="center"/>
    </xf>
    <xf numFmtId="0" fontId="36" fillId="0" borderId="0"/>
    <xf numFmtId="0" fontId="36" fillId="0" borderId="0">
      <alignment vertical="center"/>
    </xf>
    <xf numFmtId="0" fontId="36" fillId="0" borderId="0">
      <alignment vertical="center"/>
    </xf>
    <xf numFmtId="0" fontId="47" fillId="0" borderId="0">
      <alignment vertical="center"/>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189" fontId="48" fillId="0" borderId="0"/>
    <xf numFmtId="49" fontId="22" fillId="0" borderId="5">
      <alignment vertical="center" wrapText="1"/>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36" fillId="0" borderId="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52" fillId="10" borderId="0"/>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52" fillId="10" borderId="0" applyNumberFormat="0" applyBorder="0" applyAlignment="0" applyProtection="0">
      <alignment vertical="center"/>
    </xf>
    <xf numFmtId="0" fontId="52" fillId="10" borderId="0"/>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53" fillId="0" borderId="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36" fillId="0" borderId="0">
      <alignment vertical="center"/>
    </xf>
    <xf numFmtId="181"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22" fillId="6" borderId="7" applyNumberFormat="0" applyFont="0" applyAlignment="0">
      <alignment horizontal="center" vertical="center"/>
    </xf>
    <xf numFmtId="0" fontId="36" fillId="0" borderId="0" applyProtection="0">
      <alignment vertical="center"/>
    </xf>
    <xf numFmtId="49" fontId="5" fillId="0" borderId="5">
      <alignment vertical="center" wrapText="1"/>
    </xf>
    <xf numFmtId="49" fontId="5" fillId="0" borderId="5">
      <alignment vertical="center" wrapText="1"/>
    </xf>
    <xf numFmtId="0" fontId="36" fillId="0" borderId="0">
      <alignment vertical="center"/>
    </xf>
    <xf numFmtId="0" fontId="36" fillId="0" borderId="0"/>
    <xf numFmtId="0" fontId="53" fillId="0" borderId="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36" fillId="0" borderId="0"/>
    <xf numFmtId="0" fontId="22" fillId="6" borderId="7" applyNumberFormat="0" applyFont="0" applyAlignment="0">
      <alignment horizontal="center" vertical="center"/>
    </xf>
    <xf numFmtId="0" fontId="36" fillId="0" borderId="0" applyProtection="0">
      <alignment vertical="center"/>
    </xf>
    <xf numFmtId="49" fontId="5" fillId="0" borderId="5">
      <alignment vertical="center" wrapText="1"/>
    </xf>
    <xf numFmtId="49" fontId="5" fillId="0" borderId="5">
      <alignment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xf numFmtId="49" fontId="5" fillId="0" borderId="5" applyProtection="0">
      <alignment vertical="center" wrapText="1"/>
    </xf>
    <xf numFmtId="49" fontId="5" fillId="0" borderId="5" applyProtection="0">
      <alignment vertical="center" wrapText="1"/>
    </xf>
    <xf numFmtId="0" fontId="44" fillId="0" borderId="7">
      <alignment horizontal="left" vertical="center"/>
    </xf>
    <xf numFmtId="0" fontId="36" fillId="0" borderId="0">
      <alignment vertical="center"/>
    </xf>
    <xf numFmtId="0" fontId="47" fillId="0" borderId="0">
      <alignment vertical="center"/>
      <protection locked="0"/>
    </xf>
    <xf numFmtId="49" fontId="5" fillId="0" borderId="5">
      <alignment vertical="center" wrapText="1"/>
    </xf>
    <xf numFmtId="178" fontId="22" fillId="0" borderId="5">
      <alignment horizontal="right" vertical="center" wrapText="1"/>
    </xf>
    <xf numFmtId="0" fontId="36" fillId="0" borderId="0">
      <alignment vertical="center"/>
    </xf>
    <xf numFmtId="0" fontId="44" fillId="0" borderId="7">
      <alignment horizontal="left" vertical="center"/>
    </xf>
    <xf numFmtId="0" fontId="36"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47" fillId="0" borderId="0">
      <alignment vertical="center"/>
      <protection locked="0"/>
    </xf>
    <xf numFmtId="178" fontId="22" fillId="0" borderId="5">
      <alignment horizontal="right" vertical="center" wrapText="1"/>
    </xf>
    <xf numFmtId="0" fontId="36" fillId="0" borderId="0">
      <alignment vertical="center"/>
    </xf>
    <xf numFmtId="0" fontId="44" fillId="0" borderId="7">
      <alignment horizontal="left" vertical="center"/>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44" fillId="0" borderId="7">
      <alignment horizontal="left" vertical="center"/>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0" fontId="53" fillId="0" borderId="0">
      <alignment horizontal="center" vertical="center"/>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44" fillId="0" borderId="7">
      <alignment horizontal="left" vertical="center"/>
    </xf>
    <xf numFmtId="0" fontId="36" fillId="0" borderId="0">
      <alignment vertical="center"/>
    </xf>
    <xf numFmtId="181"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181" fontId="22" fillId="0" borderId="5">
      <alignment horizontal="right" vertical="center" wrapText="1"/>
    </xf>
    <xf numFmtId="0" fontId="36" fillId="0" borderId="0"/>
    <xf numFmtId="0" fontId="53" fillId="0" borderId="0">
      <alignment horizontal="center" vertical="center"/>
    </xf>
    <xf numFmtId="181"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181" fontId="22" fillId="0" borderId="5">
      <alignment horizontal="right" vertical="center" wrapText="1"/>
    </xf>
    <xf numFmtId="0" fontId="36" fillId="0" borderId="0"/>
    <xf numFmtId="181" fontId="5" fillId="0" borderId="5" applyProtection="0">
      <alignment horizontal="right" vertical="center" wrapText="1"/>
    </xf>
    <xf numFmtId="0" fontId="36" fillId="0" borderId="0">
      <alignment vertical="center"/>
    </xf>
    <xf numFmtId="181" fontId="5" fillId="0" borderId="5" applyProtection="0">
      <alignment horizontal="righ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0" fontId="53" fillId="0" borderId="0">
      <alignment horizontal="center"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49" fontId="5" fillId="0" borderId="5">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37" fillId="0" borderId="0" applyProtection="0"/>
    <xf numFmtId="49" fontId="5" fillId="0" borderId="5">
      <alignment vertical="center" wrapText="1"/>
    </xf>
    <xf numFmtId="0" fontId="44" fillId="0" borderId="7">
      <alignment horizontal="left" vertical="center"/>
    </xf>
    <xf numFmtId="0" fontId="36" fillId="0" borderId="0">
      <alignment vertical="center"/>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44" fillId="0" borderId="7">
      <alignment horizontal="lef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xf numFmtId="0" fontId="40" fillId="0" borderId="0">
      <alignment horizontal="center" vertical="center" wrapText="1"/>
      <protection locked="0"/>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xf numFmtId="0" fontId="40" fillId="0" borderId="0">
      <alignment horizontal="center" vertical="center" wrapText="1"/>
      <protection locked="0"/>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lignment horizontal="center" vertical="center" wrapText="1"/>
    </xf>
    <xf numFmtId="49" fontId="5" fillId="0" borderId="5">
      <alignment horizontal="center" vertical="center" wrapText="1"/>
    </xf>
    <xf numFmtId="0" fontId="36" fillId="0" borderId="0"/>
    <xf numFmtId="181" fontId="5" fillId="0" borderId="5">
      <alignment horizontal="right" vertical="center" wrapText="1"/>
    </xf>
    <xf numFmtId="181" fontId="5" fillId="0" borderId="5">
      <alignment horizontal="right" vertical="center" wrapText="1"/>
    </xf>
    <xf numFmtId="0" fontId="36" fillId="0" borderId="0">
      <alignment vertical="center"/>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56" fillId="0" borderId="25">
      <alignment horizontal="center" vertical="center"/>
    </xf>
    <xf numFmtId="0" fontId="36" fillId="0" borderId="0" applyProtection="0"/>
    <xf numFmtId="195" fontId="19" fillId="0" borderId="0">
      <alignment vertical="center"/>
    </xf>
    <xf numFmtId="0" fontId="41" fillId="0" borderId="0"/>
    <xf numFmtId="0" fontId="36" fillId="0" borderId="0"/>
    <xf numFmtId="0" fontId="36" fillId="0" borderId="0"/>
    <xf numFmtId="0" fontId="36" fillId="0" borderId="0"/>
    <xf numFmtId="181" fontId="22" fillId="0" borderId="5" applyProtection="0">
      <alignment horizontal="right" vertical="center" wrapText="1"/>
    </xf>
    <xf numFmtId="0" fontId="36" fillId="0" borderId="0"/>
    <xf numFmtId="49" fontId="5" fillId="0" borderId="5">
      <alignment vertical="center" wrapText="1"/>
    </xf>
    <xf numFmtId="177" fontId="19" fillId="0" borderId="0">
      <alignment vertical="center"/>
    </xf>
    <xf numFmtId="181" fontId="22" fillId="0" borderId="5" applyProtection="0">
      <alignment horizontal="right" vertical="center" wrapText="1"/>
    </xf>
    <xf numFmtId="0" fontId="36" fillId="0" borderId="0"/>
    <xf numFmtId="0" fontId="36" fillId="0" borderId="0"/>
    <xf numFmtId="49" fontId="5" fillId="0" borderId="5">
      <alignment vertical="center" wrapText="1"/>
    </xf>
    <xf numFmtId="177" fontId="19" fillId="0" borderId="0">
      <alignment vertical="center"/>
    </xf>
    <xf numFmtId="181" fontId="22" fillId="0" borderId="5" applyProtection="0">
      <alignment horizontal="right" vertical="center" wrapText="1"/>
    </xf>
    <xf numFmtId="0" fontId="36" fillId="0" borderId="0"/>
    <xf numFmtId="0" fontId="36" fillId="0" borderId="0"/>
    <xf numFmtId="181" fontId="22" fillId="0" borderId="5" applyProtection="0">
      <alignment horizontal="right" vertical="center" wrapText="1"/>
    </xf>
    <xf numFmtId="0" fontId="36" fillId="0" borderId="0"/>
    <xf numFmtId="0" fontId="36" fillId="0" borderId="0"/>
    <xf numFmtId="181" fontId="22" fillId="0" borderId="5" applyProtection="0">
      <alignment horizontal="right" vertical="center" wrapText="1"/>
    </xf>
    <xf numFmtId="0" fontId="36" fillId="0" borderId="0"/>
    <xf numFmtId="0" fontId="36" fillId="0" borderId="0"/>
    <xf numFmtId="181" fontId="22" fillId="0" borderId="5" applyProtection="0">
      <alignment horizontal="right" vertical="center" wrapText="1"/>
    </xf>
    <xf numFmtId="0" fontId="36" fillId="0" borderId="0"/>
    <xf numFmtId="0" fontId="36" fillId="0" borderId="0"/>
    <xf numFmtId="49" fontId="22" fillId="0" borderId="5" applyProtection="0">
      <alignment horizontal="center" vertical="center" wrapText="1"/>
    </xf>
    <xf numFmtId="0" fontId="36" fillId="0" borderId="0"/>
    <xf numFmtId="0" fontId="36" fillId="0" borderId="0"/>
    <xf numFmtId="0" fontId="36" fillId="0" borderId="0"/>
    <xf numFmtId="49" fontId="22" fillId="0" borderId="5" applyProtection="0">
      <alignment horizontal="center" vertical="center" wrapText="1"/>
    </xf>
    <xf numFmtId="0" fontId="36" fillId="0" borderId="0"/>
    <xf numFmtId="49" fontId="22" fillId="0" borderId="5" applyProtection="0">
      <alignment horizontal="center" vertical="center" wrapText="1"/>
    </xf>
    <xf numFmtId="0" fontId="36" fillId="0" borderId="0"/>
    <xf numFmtId="0" fontId="36" fillId="0" borderId="0"/>
    <xf numFmtId="49" fontId="22" fillId="0" borderId="5" applyProtection="0">
      <alignment horizontal="center" vertical="center" wrapText="1"/>
    </xf>
    <xf numFmtId="0" fontId="36" fillId="0" borderId="0"/>
    <xf numFmtId="0" fontId="36" fillId="0" borderId="0"/>
    <xf numFmtId="0" fontId="36" fillId="0" borderId="0">
      <alignment vertical="center"/>
    </xf>
    <xf numFmtId="0" fontId="36" fillId="0" borderId="0"/>
    <xf numFmtId="0" fontId="36" fillId="0" borderId="0">
      <alignment vertical="center"/>
    </xf>
    <xf numFmtId="0" fontId="36" fillId="0" borderId="0"/>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0" fontId="36" fillId="0" borderId="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0" fontId="36" fillId="0" borderId="0"/>
    <xf numFmtId="0" fontId="36" fillId="0" borderId="0"/>
    <xf numFmtId="0" fontId="36" fillId="0" borderId="0"/>
    <xf numFmtId="0" fontId="36" fillId="0" borderId="0"/>
    <xf numFmtId="0" fontId="36" fillId="0" borderId="0"/>
    <xf numFmtId="0" fontId="36" fillId="0" borderId="0"/>
    <xf numFmtId="0" fontId="44" fillId="0" borderId="7">
      <alignment horizontal="left" vertical="center"/>
    </xf>
    <xf numFmtId="0" fontId="36" fillId="0" borderId="0">
      <alignment vertical="center"/>
    </xf>
    <xf numFmtId="0" fontId="36" fillId="0" borderId="0"/>
    <xf numFmtId="0" fontId="36" fillId="0" borderId="0">
      <alignment vertical="center"/>
    </xf>
    <xf numFmtId="0" fontId="36" fillId="0" borderId="0"/>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0" fontId="36" fillId="0" borderId="0"/>
    <xf numFmtId="0" fontId="47" fillId="0" borderId="0">
      <alignment vertical="center"/>
    </xf>
    <xf numFmtId="0" fontId="36" fillId="0" borderId="0"/>
    <xf numFmtId="0" fontId="47" fillId="0" borderId="0">
      <alignment vertical="center"/>
    </xf>
    <xf numFmtId="14" fontId="40" fillId="0" borderId="0">
      <alignment horizontal="center" vertical="center" wrapText="1"/>
      <protection locked="0"/>
    </xf>
    <xf numFmtId="0" fontId="36" fillId="0" borderId="0"/>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alignment vertical="center"/>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0" fontId="36" fillId="0" borderId="0"/>
    <xf numFmtId="0" fontId="36" fillId="0" borderId="0"/>
    <xf numFmtId="0" fontId="36" fillId="0" borderId="0">
      <alignment vertical="center"/>
    </xf>
    <xf numFmtId="0" fontId="36" fillId="0" borderId="0"/>
    <xf numFmtId="0" fontId="36" fillId="0" borderId="0"/>
    <xf numFmtId="0" fontId="36" fillId="0" borderId="0"/>
    <xf numFmtId="181" fontId="22" fillId="0" borderId="5" applyProtection="0">
      <alignment horizontal="right" vertical="center" wrapText="1"/>
    </xf>
    <xf numFmtId="14" fontId="40" fillId="0" borderId="0">
      <alignment horizontal="center" vertical="center" wrapText="1"/>
      <protection locked="0"/>
    </xf>
    <xf numFmtId="0" fontId="36" fillId="0" borderId="0"/>
    <xf numFmtId="49" fontId="22" fillId="0" borderId="5" applyProtection="0">
      <alignment vertical="center" wrapText="1"/>
    </xf>
    <xf numFmtId="49" fontId="22" fillId="0" borderId="5" applyProtection="0">
      <alignment vertical="center" wrapText="1"/>
    </xf>
    <xf numFmtId="0" fontId="36" fillId="0" borderId="0"/>
    <xf numFmtId="0" fontId="36" fillId="0" borderId="0"/>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xf numFmtId="49" fontId="22" fillId="0" borderId="5" applyProtection="0">
      <alignment vertical="center" wrapText="1"/>
    </xf>
    <xf numFmtId="49" fontId="22" fillId="0" borderId="5" applyProtection="0">
      <alignment vertical="center" wrapText="1"/>
    </xf>
    <xf numFmtId="0" fontId="36" fillId="0" borderId="0"/>
    <xf numFmtId="0" fontId="36" fillId="0" borderId="0"/>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xf numFmtId="49" fontId="22" fillId="0" borderId="5" applyProtection="0">
      <alignment vertical="center" wrapText="1"/>
    </xf>
    <xf numFmtId="49" fontId="22" fillId="0" borderId="5" applyProtection="0">
      <alignment vertical="center" wrapText="1"/>
    </xf>
    <xf numFmtId="0" fontId="36" fillId="0" borderId="0" applyProtection="0">
      <alignment vertical="center"/>
    </xf>
    <xf numFmtId="49" fontId="5" fillId="0" borderId="5" applyProtection="0">
      <alignment vertical="center" wrapText="1"/>
    </xf>
    <xf numFmtId="49" fontId="5" fillId="0" borderId="5" applyProtection="0">
      <alignment vertical="center" wrapText="1"/>
    </xf>
    <xf numFmtId="0" fontId="36" fillId="0" borderId="0"/>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xf numFmtId="49" fontId="22" fillId="0" borderId="5" applyProtection="0">
      <alignment vertical="center" wrapText="1"/>
    </xf>
    <xf numFmtId="49" fontId="22" fillId="0" borderId="5" applyProtection="0">
      <alignment vertical="center" wrapText="1"/>
    </xf>
    <xf numFmtId="0" fontId="36" fillId="0" borderId="0" applyProtection="0">
      <alignment vertical="center"/>
    </xf>
    <xf numFmtId="49" fontId="5" fillId="0" borderId="5" applyProtection="0">
      <alignment vertical="center" wrapText="1"/>
    </xf>
    <xf numFmtId="49" fontId="5" fillId="0" borderId="5" applyProtection="0">
      <alignment vertical="center" wrapText="1"/>
    </xf>
    <xf numFmtId="0" fontId="36" fillId="0" borderId="0"/>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alignment vertical="center"/>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47" fillId="0" borderId="0">
      <alignment vertical="center"/>
    </xf>
    <xf numFmtId="0" fontId="36" fillId="0" borderId="0"/>
    <xf numFmtId="0" fontId="36" fillId="0" borderId="0"/>
    <xf numFmtId="0" fontId="47" fillId="0" borderId="0">
      <alignment vertical="center"/>
    </xf>
    <xf numFmtId="0" fontId="36" fillId="0" borderId="0"/>
    <xf numFmtId="0" fontId="36" fillId="0" borderId="0"/>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0" fontId="36" fillId="0" borderId="0"/>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68" fillId="23" borderId="33" applyNumberFormat="0" applyAlignment="0" applyProtection="0">
      <alignment vertical="center"/>
    </xf>
    <xf numFmtId="0" fontId="36" fillId="0" borderId="0">
      <alignment vertical="center"/>
    </xf>
    <xf numFmtId="0" fontId="36" fillId="0" borderId="0">
      <alignment vertical="center"/>
    </xf>
    <xf numFmtId="0" fontId="68" fillId="23" borderId="33"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49" fontId="22" fillId="0" borderId="5">
      <alignment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36" fillId="0" borderId="0" applyProtection="0">
      <alignment vertical="center"/>
    </xf>
    <xf numFmtId="0" fontId="24" fillId="11" borderId="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6" fillId="0" borderId="25">
      <alignment horizontal="center" vertical="center"/>
    </xf>
    <xf numFmtId="0" fontId="36" fillId="0" borderId="0">
      <alignment vertical="center"/>
    </xf>
    <xf numFmtId="0" fontId="41" fillId="0" borderId="0"/>
    <xf numFmtId="49" fontId="5" fillId="0" borderId="5">
      <alignment horizontal="center" vertical="center" wrapText="1"/>
    </xf>
    <xf numFmtId="49" fontId="5" fillId="0" borderId="5">
      <alignment horizontal="center" vertical="center" wrapText="1"/>
    </xf>
    <xf numFmtId="0" fontId="36" fillId="0" borderId="0"/>
    <xf numFmtId="49" fontId="5" fillId="0" borderId="5">
      <alignment horizontal="center" vertical="center" wrapText="1"/>
    </xf>
    <xf numFmtId="49" fontId="5" fillId="0" borderId="5">
      <alignment horizontal="center" vertical="center"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7" fillId="0" borderId="0" applyNumberFormat="0" applyAlignment="0">
      <alignment horizontal="left"/>
    </xf>
    <xf numFmtId="49" fontId="22" fillId="0" borderId="5" applyProtection="0">
      <alignment horizontal="center" vertical="center" wrapText="1"/>
    </xf>
    <xf numFmtId="0" fontId="36" fillId="0" borderId="0"/>
    <xf numFmtId="181"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xf numFmtId="49" fontId="22" fillId="0" borderId="5">
      <alignment vertical="center" wrapText="1"/>
    </xf>
    <xf numFmtId="49" fontId="22" fillId="0" borderId="5">
      <alignment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alignment vertical="center"/>
    </xf>
    <xf numFmtId="0" fontId="36" fillId="0" borderId="0"/>
    <xf numFmtId="0" fontId="36" fillId="0" borderId="0"/>
    <xf numFmtId="0" fontId="53" fillId="0" borderId="25">
      <alignment horizontal="center" vertical="center"/>
    </xf>
    <xf numFmtId="0" fontId="36" fillId="0" borderId="0"/>
    <xf numFmtId="0" fontId="36" fillId="0" borderId="0"/>
    <xf numFmtId="0" fontId="36" fillId="0" borderId="0"/>
    <xf numFmtId="0" fontId="36" fillId="0" borderId="0"/>
    <xf numFmtId="49" fontId="12" fillId="0" borderId="2">
      <alignment horizontal="center" vertical="center" wrapText="1"/>
    </xf>
    <xf numFmtId="0" fontId="36" fillId="0" borderId="0"/>
    <xf numFmtId="0" fontId="36" fillId="0" borderId="0"/>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xf numFmtId="0" fontId="36" fillId="0" borderId="0"/>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horizontal="center" vertical="center" wrapText="1"/>
    </xf>
    <xf numFmtId="0" fontId="36" fillId="0" borderId="0"/>
    <xf numFmtId="181" fontId="5"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0" fontId="36" fillId="0" borderId="0"/>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43" fillId="7" borderId="3">
      <alignment vertical="center"/>
      <protection locked="0"/>
    </xf>
    <xf numFmtId="0" fontId="36" fillId="0" borderId="0"/>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0" fontId="36" fillId="0" borderId="0">
      <alignment vertical="center"/>
    </xf>
    <xf numFmtId="0" fontId="44" fillId="0" borderId="7">
      <alignment horizontal="left" vertical="center"/>
    </xf>
    <xf numFmtId="0" fontId="36" fillId="0" borderId="0"/>
    <xf numFmtId="0" fontId="22" fillId="6" borderId="7" applyNumberFormat="0" applyFont="0" applyAlignment="0">
      <alignment horizontal="center" vertical="center"/>
    </xf>
    <xf numFmtId="0" fontId="36" fillId="0" borderId="0" applyProtection="0">
      <alignment vertical="center"/>
    </xf>
    <xf numFmtId="49" fontId="5" fillId="0" borderId="5">
      <alignment vertical="center" wrapText="1"/>
    </xf>
    <xf numFmtId="49" fontId="5"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xf numFmtId="49" fontId="22" fillId="0" borderId="5">
      <alignment vertical="center" wrapText="1"/>
    </xf>
    <xf numFmtId="49" fontId="22" fillId="0" borderId="5">
      <alignment vertical="center" wrapText="1"/>
    </xf>
    <xf numFmtId="0" fontId="36" fillId="0" borderId="0"/>
    <xf numFmtId="49" fontId="22" fillId="0" borderId="5">
      <alignment vertical="center" wrapText="1"/>
    </xf>
    <xf numFmtId="49" fontId="22" fillId="0" borderId="5">
      <alignment vertical="center" wrapText="1"/>
    </xf>
    <xf numFmtId="0" fontId="36" fillId="0" borderId="0"/>
    <xf numFmtId="198" fontId="69" fillId="0" borderId="0"/>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24" fillId="16"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24" fillId="16" borderId="0"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pplyProtection="0">
      <alignment vertical="center"/>
    </xf>
    <xf numFmtId="49" fontId="22" fillId="0" borderId="5">
      <alignment horizontal="center" vertical="center" wrapText="1"/>
    </xf>
    <xf numFmtId="49" fontId="22" fillId="0" borderId="5">
      <alignment horizontal="center" vertical="center" wrapText="1"/>
    </xf>
    <xf numFmtId="0" fontId="24" fillId="14"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24" fillId="14" borderId="0" applyNumberFormat="0" applyBorder="0" applyAlignment="0" applyProtection="0">
      <alignment vertical="center"/>
    </xf>
    <xf numFmtId="0" fontId="36" fillId="0" borderId="0">
      <alignment vertical="center"/>
    </xf>
    <xf numFmtId="4" fontId="22" fillId="0" borderId="0" applyFont="0" applyFill="0" applyBorder="0" applyAlignment="0" applyProtection="0">
      <alignment vertical="center"/>
    </xf>
    <xf numFmtId="0" fontId="44" fillId="0" borderId="7">
      <alignment horizontal="left" vertical="center"/>
    </xf>
    <xf numFmtId="0" fontId="36" fillId="0" borderId="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36" fillId="0" borderId="0">
      <alignment vertical="center"/>
    </xf>
    <xf numFmtId="195" fontId="19" fillId="0" borderId="0"/>
    <xf numFmtId="0" fontId="36" fillId="0" borderId="0"/>
    <xf numFmtId="0" fontId="53" fillId="0" borderId="0">
      <alignment horizontal="center" vertical="center"/>
    </xf>
    <xf numFmtId="0" fontId="36" fillId="0" borderId="0"/>
    <xf numFmtId="49" fontId="5" fillId="0" borderId="5">
      <alignment vertical="center" wrapText="1"/>
    </xf>
    <xf numFmtId="49" fontId="5" fillId="0" borderId="5">
      <alignment vertical="center" wrapText="1"/>
    </xf>
    <xf numFmtId="0" fontId="36" fillId="0" borderId="0">
      <alignment vertical="center"/>
    </xf>
    <xf numFmtId="0" fontId="36" fillId="0" borderId="0">
      <alignment vertical="center"/>
    </xf>
    <xf numFmtId="0" fontId="36" fillId="0" borderId="0"/>
    <xf numFmtId="49" fontId="5" fillId="0" borderId="5">
      <alignment vertical="center" wrapText="1"/>
    </xf>
    <xf numFmtId="49" fontId="5"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0" fontId="36" fillId="0" borderId="0">
      <alignment vertical="center"/>
    </xf>
    <xf numFmtId="0" fontId="36" fillId="0" borderId="0"/>
    <xf numFmtId="0" fontId="53" fillId="0" borderId="0">
      <alignment horizontal="center" vertical="center"/>
    </xf>
    <xf numFmtId="0" fontId="36" fillId="0" borderId="0"/>
    <xf numFmtId="0" fontId="36" fillId="0" borderId="0">
      <alignment vertical="center"/>
    </xf>
    <xf numFmtId="0" fontId="36" fillId="0" borderId="0">
      <alignment vertical="center"/>
    </xf>
    <xf numFmtId="181" fontId="22" fillId="0" borderId="5" applyProtection="0">
      <alignment horizontal="right" vertical="center" wrapText="1"/>
    </xf>
    <xf numFmtId="0" fontId="36" fillId="0" borderId="0"/>
    <xf numFmtId="0" fontId="36" fillId="0" borderId="0">
      <alignment vertical="center"/>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81" fontId="5" fillId="0" borderId="5">
      <alignment horizontal="right" vertical="center" wrapText="1"/>
    </xf>
    <xf numFmtId="0" fontId="36" fillId="0" borderId="0"/>
    <xf numFmtId="0" fontId="47" fillId="0" borderId="0">
      <alignment vertical="center"/>
    </xf>
    <xf numFmtId="0" fontId="36" fillId="0" borderId="0"/>
    <xf numFmtId="0" fontId="53" fillId="0" borderId="0">
      <alignment horizontal="center" vertical="center"/>
    </xf>
    <xf numFmtId="0" fontId="36" fillId="0" borderId="0"/>
    <xf numFmtId="181" fontId="22" fillId="0" borderId="5" applyProtection="0">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0" fontId="36" fillId="0" borderId="0"/>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0" fontId="36" fillId="0" borderId="0">
      <alignment vertical="center"/>
    </xf>
    <xf numFmtId="0" fontId="36" fillId="0" borderId="0">
      <alignment vertical="center"/>
    </xf>
    <xf numFmtId="181" fontId="5" fillId="0" borderId="5">
      <alignment horizontal="right" vertical="center" wrapText="1"/>
    </xf>
    <xf numFmtId="0" fontId="36" fillId="0" borderId="0"/>
    <xf numFmtId="0" fontId="47" fillId="0" borderId="0">
      <alignment vertical="center"/>
    </xf>
    <xf numFmtId="0" fontId="22" fillId="6" borderId="7"/>
    <xf numFmtId="0" fontId="53" fillId="0" borderId="0">
      <alignment horizontal="center" vertical="center"/>
    </xf>
    <xf numFmtId="0" fontId="36" fillId="0" borderId="0"/>
    <xf numFmtId="0" fontId="36" fillId="0" borderId="0"/>
    <xf numFmtId="0" fontId="36" fillId="0" borderId="0"/>
    <xf numFmtId="49" fontId="22" fillId="0" borderId="5">
      <alignment vertical="center" wrapText="1"/>
    </xf>
    <xf numFmtId="49" fontId="22" fillId="0" borderId="5">
      <alignment vertical="center" wrapText="1"/>
    </xf>
    <xf numFmtId="0" fontId="36" fillId="0" borderId="0"/>
    <xf numFmtId="0" fontId="36" fillId="0" borderId="0">
      <alignment vertical="center"/>
    </xf>
    <xf numFmtId="49" fontId="22" fillId="0" borderId="5">
      <alignment vertical="center" wrapText="1"/>
    </xf>
    <xf numFmtId="49" fontId="22" fillId="0" borderId="5">
      <alignment vertical="center" wrapText="1"/>
    </xf>
    <xf numFmtId="0" fontId="36" fillId="0" borderId="0"/>
    <xf numFmtId="0" fontId="36" fillId="0" borderId="0">
      <alignment vertical="center"/>
    </xf>
    <xf numFmtId="49" fontId="22" fillId="0" borderId="5">
      <alignment vertical="center" wrapText="1"/>
    </xf>
    <xf numFmtId="49" fontId="22" fillId="0" borderId="5">
      <alignment vertical="center" wrapText="1"/>
    </xf>
    <xf numFmtId="0" fontId="36" fillId="0" borderId="0"/>
    <xf numFmtId="0" fontId="36" fillId="0" borderId="0"/>
    <xf numFmtId="181" fontId="5" fillId="0" borderId="5">
      <alignment horizontal="right" vertical="center" wrapText="1"/>
    </xf>
    <xf numFmtId="0" fontId="36" fillId="0" borderId="0"/>
    <xf numFmtId="0" fontId="36" fillId="0" borderId="0"/>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200" fontId="24" fillId="0" borderId="0">
      <alignment vertical="center"/>
    </xf>
    <xf numFmtId="49" fontId="22" fillId="0" borderId="5" applyProtection="0">
      <alignment vertical="center" wrapText="1"/>
    </xf>
    <xf numFmtId="49" fontId="22" fillId="0" borderId="5" applyProtection="0">
      <alignment vertical="center" wrapText="1"/>
    </xf>
    <xf numFmtId="0" fontId="36" fillId="0" borderId="0">
      <alignment vertical="center"/>
    </xf>
    <xf numFmtId="0" fontId="36" fillId="0" borderId="0"/>
    <xf numFmtId="0" fontId="36" fillId="0" borderId="0">
      <alignment vertical="center"/>
    </xf>
    <xf numFmtId="0" fontId="40" fillId="0" borderId="0">
      <alignment horizontal="center" vertical="center" wrapText="1"/>
      <protection locked="0"/>
    </xf>
    <xf numFmtId="49" fontId="22" fillId="0" borderId="5">
      <alignment vertical="center" wrapText="1"/>
    </xf>
    <xf numFmtId="0" fontId="36" fillId="0" borderId="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36" fillId="0" borderId="0">
      <alignment vertical="center"/>
    </xf>
    <xf numFmtId="0" fontId="36" fillId="0" borderId="0"/>
    <xf numFmtId="0" fontId="36" fillId="0" borderId="0">
      <alignment vertical="center"/>
    </xf>
    <xf numFmtId="0" fontId="40" fillId="0" borderId="0">
      <alignment horizontal="center" vertical="center" wrapText="1"/>
      <protection locked="0"/>
    </xf>
    <xf numFmtId="0" fontId="36" fillId="0" borderId="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36" fillId="0" borderId="0">
      <alignment vertical="center"/>
    </xf>
    <xf numFmtId="0" fontId="36" fillId="0" borderId="0"/>
    <xf numFmtId="178" fontId="5" fillId="0" borderId="5" applyProtection="0">
      <alignment horizontal="right" vertical="center" wrapText="1"/>
    </xf>
    <xf numFmtId="0" fontId="36" fillId="0" borderId="0">
      <alignment vertical="center"/>
    </xf>
    <xf numFmtId="178" fontId="5" fillId="0" borderId="5" applyProtection="0">
      <alignment horizontal="right" vertical="center" wrapText="1"/>
    </xf>
    <xf numFmtId="0" fontId="36" fillId="0" borderId="0">
      <alignment vertical="center"/>
    </xf>
    <xf numFmtId="0" fontId="36" fillId="0" borderId="0" applyProtection="0">
      <alignment vertical="center"/>
    </xf>
    <xf numFmtId="0" fontId="41" fillId="0" borderId="0"/>
    <xf numFmtId="49" fontId="5" fillId="0" borderId="5" applyProtection="0">
      <alignment horizontal="center" vertical="center" wrapText="1"/>
    </xf>
    <xf numFmtId="49" fontId="5" fillId="0" borderId="5" applyProtection="0">
      <alignment horizontal="center" vertical="center" wrapText="1"/>
    </xf>
    <xf numFmtId="0" fontId="36" fillId="0" borderId="0"/>
    <xf numFmtId="0" fontId="47"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xf numFmtId="0" fontId="47" fillId="0" borderId="0">
      <alignment vertical="center"/>
    </xf>
    <xf numFmtId="0" fontId="36" fillId="0" borderId="0"/>
    <xf numFmtId="0" fontId="36" fillId="0" borderId="0"/>
    <xf numFmtId="178" fontId="22" fillId="0" borderId="5">
      <alignment horizontal="right" vertical="center" wrapText="1"/>
    </xf>
    <xf numFmtId="178" fontId="22" fillId="0" borderId="5">
      <alignment horizontal="right" vertical="center" wrapText="1"/>
    </xf>
    <xf numFmtId="0" fontId="61" fillId="20" borderId="0" applyNumberFormat="0" applyBorder="0" applyAlignment="0" applyProtection="0">
      <alignment vertical="center"/>
    </xf>
    <xf numFmtId="0" fontId="36" fillId="0" borderId="0"/>
    <xf numFmtId="178" fontId="22" fillId="0" borderId="5">
      <alignment horizontal="right" vertical="center" wrapText="1"/>
    </xf>
    <xf numFmtId="178" fontId="22" fillId="0" borderId="5">
      <alignment horizontal="right" vertical="center" wrapText="1"/>
    </xf>
    <xf numFmtId="0" fontId="61" fillId="20" borderId="0" applyNumberFormat="0" applyBorder="0" applyAlignment="0" applyProtection="0">
      <alignment vertical="center"/>
    </xf>
    <xf numFmtId="0" fontId="36" fillId="0" borderId="0"/>
    <xf numFmtId="0" fontId="36" fillId="0" borderId="0"/>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61" fillId="20" borderId="0" applyNumberFormat="0" applyBorder="0" applyAlignment="0" applyProtection="0">
      <alignment vertical="center"/>
    </xf>
    <xf numFmtId="0" fontId="36" fillId="0" borderId="0"/>
    <xf numFmtId="0" fontId="36" fillId="0" borderId="0"/>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61" fillId="20" borderId="0" applyNumberFormat="0" applyBorder="0" applyAlignment="0" applyProtection="0">
      <alignment vertical="center"/>
    </xf>
    <xf numFmtId="49" fontId="22" fillId="0" borderId="5">
      <alignment horizontal="center" vertical="center" wrapText="1"/>
    </xf>
    <xf numFmtId="0" fontId="36" fillId="0" borderId="0"/>
    <xf numFmtId="0" fontId="36" fillId="0" borderId="0"/>
    <xf numFmtId="178" fontId="22" fillId="0" borderId="5">
      <alignment horizontal="right" vertical="center" wrapText="1"/>
    </xf>
    <xf numFmtId="178" fontId="22" fillId="0" borderId="5">
      <alignment horizontal="right" vertical="center" wrapText="1"/>
    </xf>
    <xf numFmtId="0" fontId="61" fillId="20" borderId="0" applyNumberFormat="0" applyBorder="0" applyAlignment="0" applyProtection="0">
      <alignment vertical="center"/>
    </xf>
    <xf numFmtId="49" fontId="22" fillId="0" borderId="5">
      <alignment horizontal="center" vertical="center" wrapText="1"/>
    </xf>
    <xf numFmtId="0" fontId="36" fillId="0" borderId="0"/>
    <xf numFmtId="0" fontId="36" fillId="0" borderId="0"/>
    <xf numFmtId="178" fontId="22" fillId="0" borderId="5">
      <alignment horizontal="right" vertical="center" wrapText="1"/>
    </xf>
    <xf numFmtId="178" fontId="22" fillId="0" borderId="5">
      <alignment horizontal="right" vertical="center" wrapText="1"/>
    </xf>
    <xf numFmtId="0" fontId="61" fillId="20" borderId="0" applyNumberFormat="0" applyBorder="0" applyAlignment="0" applyProtection="0">
      <alignment vertical="center"/>
    </xf>
    <xf numFmtId="49" fontId="22" fillId="0" borderId="5">
      <alignment horizontal="center" vertical="center" wrapText="1"/>
    </xf>
    <xf numFmtId="0" fontId="36" fillId="0" borderId="0"/>
    <xf numFmtId="0" fontId="36" fillId="0" borderId="0"/>
    <xf numFmtId="178" fontId="22" fillId="0" borderId="5">
      <alignment horizontal="right" vertical="center" wrapText="1"/>
    </xf>
    <xf numFmtId="178" fontId="22" fillId="0" borderId="5">
      <alignment horizontal="right" vertical="center" wrapText="1"/>
    </xf>
    <xf numFmtId="0" fontId="49" fillId="25" borderId="0" applyNumberFormat="0" applyBorder="0" applyAlignment="0" applyProtection="0">
      <alignment vertical="center"/>
    </xf>
    <xf numFmtId="49" fontId="22" fillId="0" borderId="5" applyProtection="0">
      <alignment horizontal="center" vertical="center" wrapText="1"/>
    </xf>
    <xf numFmtId="181" fontId="22" fillId="0" borderId="5">
      <alignment horizontal="right" vertical="center" wrapText="1"/>
    </xf>
    <xf numFmtId="0" fontId="36" fillId="0" borderId="0"/>
    <xf numFmtId="49" fontId="22" fillId="0" borderId="5" applyProtection="0">
      <alignment horizontal="center" vertical="center" wrapText="1"/>
    </xf>
    <xf numFmtId="49" fontId="22" fillId="0" borderId="5">
      <alignment vertical="center" wrapText="1"/>
    </xf>
    <xf numFmtId="181" fontId="22" fillId="0" borderId="5">
      <alignment horizontal="right" vertical="center" wrapText="1"/>
    </xf>
    <xf numFmtId="0" fontId="36" fillId="0" borderId="0"/>
    <xf numFmtId="49" fontId="22" fillId="0" borderId="5" applyProtection="0">
      <alignment horizontal="center" vertical="center" wrapText="1"/>
    </xf>
    <xf numFmtId="49" fontId="22" fillId="0" borderId="5">
      <alignment vertical="center" wrapText="1"/>
    </xf>
    <xf numFmtId="181" fontId="22" fillId="0" borderId="5">
      <alignment horizontal="right" vertical="center" wrapText="1"/>
    </xf>
    <xf numFmtId="0" fontId="36" fillId="0" borderId="0"/>
    <xf numFmtId="49" fontId="22" fillId="0" borderId="5">
      <alignment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0" fontId="36" fillId="0" borderId="0">
      <alignment vertical="center"/>
    </xf>
    <xf numFmtId="49" fontId="22" fillId="0" borderId="5">
      <alignment horizontal="center" vertical="center" wrapText="1"/>
    </xf>
    <xf numFmtId="0" fontId="36" fillId="0" borderId="0"/>
    <xf numFmtId="0" fontId="36" fillId="0" borderId="0"/>
    <xf numFmtId="0" fontId="53" fillId="0" borderId="25">
      <alignment horizontal="center"/>
    </xf>
    <xf numFmtId="49" fontId="22" fillId="0" borderId="5">
      <alignment horizontal="center" vertical="center" wrapText="1"/>
    </xf>
    <xf numFmtId="0" fontId="36" fillId="0" borderId="0"/>
    <xf numFmtId="0" fontId="36" fillId="0" borderId="0"/>
    <xf numFmtId="49" fontId="22" fillId="0" borderId="5">
      <alignment horizontal="center" vertical="center" wrapText="1"/>
    </xf>
    <xf numFmtId="0" fontId="36" fillId="0" borderId="0"/>
    <xf numFmtId="0" fontId="36" fillId="0" borderId="0"/>
    <xf numFmtId="49" fontId="22" fillId="0" borderId="5">
      <alignment horizontal="center" vertical="center" wrapText="1"/>
    </xf>
    <xf numFmtId="0" fontId="36" fillId="0" borderId="0"/>
    <xf numFmtId="0" fontId="36" fillId="0" borderId="0"/>
    <xf numFmtId="0" fontId="36" fillId="0" borderId="0"/>
    <xf numFmtId="0" fontId="36" fillId="0" borderId="0"/>
    <xf numFmtId="49" fontId="22" fillId="0" borderId="5" applyProtection="0">
      <alignment horizontal="center" vertical="center" wrapText="1"/>
    </xf>
    <xf numFmtId="181" fontId="22" fillId="0" borderId="5">
      <alignment horizontal="right" vertical="center" wrapText="1"/>
    </xf>
    <xf numFmtId="0" fontId="36" fillId="0" borderId="0"/>
    <xf numFmtId="49" fontId="22" fillId="0" borderId="5" applyProtection="0">
      <alignment horizontal="center" vertical="center" wrapText="1"/>
    </xf>
    <xf numFmtId="49" fontId="22" fillId="0" borderId="5" applyProtection="0">
      <alignment vertical="center" wrapText="1"/>
    </xf>
    <xf numFmtId="181" fontId="22" fillId="0" borderId="5">
      <alignment horizontal="right" vertical="center" wrapText="1"/>
    </xf>
    <xf numFmtId="0" fontId="36" fillId="0" borderId="0"/>
    <xf numFmtId="49" fontId="22" fillId="0" borderId="5" applyProtection="0">
      <alignment horizontal="center" vertical="center" wrapText="1"/>
    </xf>
    <xf numFmtId="49" fontId="22" fillId="0" borderId="5" applyProtection="0">
      <alignment vertical="center" wrapText="1"/>
    </xf>
    <xf numFmtId="181" fontId="22" fillId="0" borderId="5">
      <alignment horizontal="right" vertical="center" wrapText="1"/>
    </xf>
    <xf numFmtId="0" fontId="36" fillId="0" borderId="0"/>
    <xf numFmtId="49" fontId="22" fillId="0" borderId="5" applyProtection="0">
      <alignment horizontal="center" vertical="center" wrapText="1"/>
    </xf>
    <xf numFmtId="49" fontId="22" fillId="0" borderId="5" applyProtection="0">
      <alignment vertical="center" wrapText="1"/>
    </xf>
    <xf numFmtId="0" fontId="36" fillId="0" borderId="0"/>
    <xf numFmtId="49" fontId="22" fillId="0" borderId="5" applyProtection="0">
      <alignment vertical="center" wrapText="1"/>
    </xf>
    <xf numFmtId="0" fontId="36" fillId="0" borderId="0">
      <alignment vertical="center"/>
    </xf>
    <xf numFmtId="49" fontId="22" fillId="0" borderId="5" applyProtection="0">
      <alignment vertical="center" wrapText="1"/>
    </xf>
    <xf numFmtId="0" fontId="36" fillId="0" borderId="0">
      <alignment vertical="center"/>
    </xf>
    <xf numFmtId="0" fontId="36" fillId="0" borderId="0"/>
    <xf numFmtId="0" fontId="36" fillId="0" borderId="0">
      <alignment vertical="center"/>
    </xf>
    <xf numFmtId="15" fontId="46" fillId="0" borderId="0">
      <alignment vertical="center"/>
    </xf>
    <xf numFmtId="0" fontId="36" fillId="0" borderId="0"/>
    <xf numFmtId="0" fontId="36" fillId="0" borderId="0">
      <alignment vertical="center"/>
    </xf>
    <xf numFmtId="15" fontId="4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0" fontId="36" fillId="0" borderId="0"/>
    <xf numFmtId="0" fontId="71" fillId="0" borderId="30">
      <alignment horizontal="righ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0" fontId="36" fillId="0" borderId="0"/>
    <xf numFmtId="0" fontId="71" fillId="0" borderId="30">
      <alignment horizontal="right" vertical="center" wrapText="1"/>
    </xf>
    <xf numFmtId="49" fontId="22" fillId="0" borderId="5">
      <alignment vertical="center" wrapText="1"/>
    </xf>
    <xf numFmtId="0" fontId="36" fillId="0" borderId="0"/>
    <xf numFmtId="0" fontId="71" fillId="0" borderId="30">
      <alignment horizontal="right" vertical="center" wrapText="1"/>
    </xf>
    <xf numFmtId="49" fontId="22" fillId="0" borderId="5">
      <alignment vertical="center" wrapText="1"/>
    </xf>
    <xf numFmtId="0" fontId="36" fillId="0" borderId="0">
      <alignment vertical="center"/>
    </xf>
    <xf numFmtId="0" fontId="71" fillId="0" borderId="30">
      <alignment horizontal="right" vertical="center" wrapText="1"/>
    </xf>
    <xf numFmtId="49" fontId="22" fillId="0" borderId="5">
      <alignment vertical="center" wrapText="1"/>
    </xf>
    <xf numFmtId="0" fontId="36" fillId="0" borderId="0">
      <alignment vertical="center"/>
    </xf>
    <xf numFmtId="0" fontId="71" fillId="0" borderId="30">
      <alignment horizontal="righ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0" fontId="36" fillId="0" borderId="0"/>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0" fontId="53" fillId="0" borderId="0">
      <alignment horizontal="center"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49" fontId="5" fillId="0" borderId="5">
      <alignment vertical="center" wrapText="1"/>
    </xf>
    <xf numFmtId="0" fontId="36" fillId="0" borderId="0"/>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49" fontId="5" fillId="0" borderId="5">
      <alignment vertical="center" wrapText="1"/>
    </xf>
    <xf numFmtId="0" fontId="36" fillId="0" borderId="0"/>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5" fillId="0" borderId="5">
      <alignment vertical="center" wrapText="1"/>
    </xf>
    <xf numFmtId="49" fontId="5" fillId="0" borderId="5">
      <alignment vertical="center" wrapText="1"/>
    </xf>
    <xf numFmtId="0" fontId="36" fillId="0" borderId="0"/>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horizontal="center" vertical="center" wrapText="1"/>
    </xf>
    <xf numFmtId="49" fontId="5" fillId="0" borderId="5">
      <alignment vertical="center" wrapText="1"/>
    </xf>
    <xf numFmtId="49" fontId="5" fillId="0" borderId="5">
      <alignment vertical="center" wrapText="1"/>
    </xf>
    <xf numFmtId="0" fontId="36" fillId="0" borderId="0"/>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0" fontId="36" fillId="0" borderId="0"/>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pplyProtection="0">
      <alignment vertical="center" wrapText="1"/>
    </xf>
    <xf numFmtId="0" fontId="53" fillId="0" borderId="0">
      <alignment horizontal="center"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pplyProtection="0">
      <alignment vertical="center" wrapText="1"/>
    </xf>
    <xf numFmtId="0" fontId="36" fillId="0" borderId="0"/>
    <xf numFmtId="0" fontId="36" fillId="0" borderId="0">
      <alignment vertical="center"/>
    </xf>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xf numFmtId="49" fontId="5" fillId="0" borderId="5" applyProtection="0">
      <alignment vertical="center" wrapText="1"/>
    </xf>
    <xf numFmtId="0" fontId="36" fillId="0" borderId="0"/>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5" fillId="0" borderId="5" applyProtection="0">
      <alignment vertical="center" wrapText="1"/>
    </xf>
    <xf numFmtId="0" fontId="36" fillId="0" borderId="0"/>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49" fontId="5" fillId="0" borderId="5" applyProtection="0">
      <alignment vertical="center" wrapText="1"/>
    </xf>
    <xf numFmtId="49" fontId="22" fillId="0" borderId="5">
      <alignment horizontal="center" vertical="center" wrapText="1"/>
    </xf>
    <xf numFmtId="0" fontId="36" fillId="0" borderId="0"/>
    <xf numFmtId="181" fontId="22"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47" fillId="0" borderId="0">
      <alignment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0" fontId="53" fillId="0" borderId="0">
      <alignment horizontal="center" vertical="center"/>
    </xf>
    <xf numFmtId="181" fontId="22" fillId="0" borderId="5">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181" fontId="5" fillId="0" borderId="5">
      <alignment horizontal="right" vertical="center" wrapText="1"/>
    </xf>
    <xf numFmtId="0" fontId="38" fillId="13" borderId="0" applyNumberFormat="0" applyBorder="0" applyAlignment="0" applyProtection="0">
      <alignment vertical="center"/>
    </xf>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181" fontId="5" fillId="0" borderId="5">
      <alignment horizontal="right" vertical="center" wrapText="1"/>
    </xf>
    <xf numFmtId="0" fontId="38" fillId="13" borderId="0" applyNumberFormat="0" applyBorder="0" applyAlignment="0" applyProtection="0">
      <alignment vertical="center"/>
    </xf>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xf numFmtId="49" fontId="5" fillId="0" borderId="5">
      <alignment vertical="center" wrapText="1"/>
    </xf>
    <xf numFmtId="181" fontId="22" fillId="0" borderId="5" applyProtection="0">
      <alignment horizontal="right" vertical="center" wrapText="1"/>
    </xf>
    <xf numFmtId="0" fontId="36" fillId="0" borderId="0"/>
    <xf numFmtId="181" fontId="22" fillId="0" borderId="5" applyProtection="0">
      <alignment horizontal="righ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205" fontId="64" fillId="0" borderId="0" applyFill="0" applyBorder="0">
      <alignment horizontal="right" vertical="top"/>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0" fontId="36" fillId="0" borderId="0">
      <alignment vertical="center"/>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36" fillId="0" borderId="0">
      <alignment vertical="center"/>
    </xf>
    <xf numFmtId="49" fontId="22" fillId="0" borderId="5" applyProtection="0">
      <alignment vertical="center" wrapText="1"/>
    </xf>
    <xf numFmtId="0" fontId="36" fillId="0" borderId="0"/>
    <xf numFmtId="49" fontId="22" fillId="0" borderId="5">
      <alignment horizontal="center" vertical="center" wrapText="1"/>
    </xf>
    <xf numFmtId="49" fontId="22" fillId="0" borderId="5">
      <alignment horizontal="center" vertical="center" wrapText="1"/>
    </xf>
    <xf numFmtId="0" fontId="47" fillId="0" borderId="0">
      <alignment vertical="center"/>
    </xf>
    <xf numFmtId="0" fontId="44" fillId="0" borderId="27" applyNumberFormat="0" applyAlignment="0" applyProtection="0">
      <alignment horizontal="left" vertical="center"/>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0" fontId="22" fillId="6" borderId="7"/>
    <xf numFmtId="0" fontId="53" fillId="0" borderId="0">
      <alignment horizontal="center" vertical="center"/>
    </xf>
    <xf numFmtId="0" fontId="36" fillId="0" borderId="0"/>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xf numFmtId="49" fontId="5" fillId="0" borderId="5">
      <alignment vertical="center" wrapText="1"/>
    </xf>
    <xf numFmtId="0" fontId="36" fillId="0" borderId="0">
      <alignmen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xf numFmtId="49" fontId="5" fillId="0" borderId="5">
      <alignment vertical="center" wrapText="1"/>
    </xf>
    <xf numFmtId="0" fontId="36" fillId="0" borderId="0"/>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xf numFmtId="0" fontId="36"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36" fillId="0" borderId="0"/>
    <xf numFmtId="49" fontId="22" fillId="0" borderId="5" applyProtection="0">
      <alignment vertical="center" wrapText="1"/>
    </xf>
    <xf numFmtId="0" fontId="36" fillId="0" borderId="0"/>
    <xf numFmtId="0" fontId="109" fillId="0" borderId="0">
      <alignment vertical="center"/>
    </xf>
    <xf numFmtId="0" fontId="36" fillId="0" borderId="0">
      <alignment vertical="center"/>
    </xf>
    <xf numFmtId="0" fontId="44" fillId="0" borderId="27" applyNumberFormat="0" applyAlignment="0" applyProtection="0">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0" fontId="36" fillId="0" borderId="0"/>
    <xf numFmtId="0" fontId="53" fillId="0" borderId="25">
      <alignment horizontal="center" vertical="center"/>
    </xf>
    <xf numFmtId="49" fontId="22" fillId="0" borderId="5" applyProtection="0">
      <alignment vertical="center" wrapText="1"/>
    </xf>
    <xf numFmtId="49" fontId="22" fillId="0" borderId="5" applyProtection="0">
      <alignment vertical="center" wrapText="1"/>
    </xf>
    <xf numFmtId="0" fontId="36" fillId="0" borderId="0"/>
    <xf numFmtId="0" fontId="22" fillId="0" borderId="0"/>
    <xf numFmtId="0" fontId="49" fillId="9" borderId="0" applyProtection="0">
      <alignment vertical="center"/>
    </xf>
    <xf numFmtId="0" fontId="36" fillId="0" borderId="0" applyProtection="0"/>
    <xf numFmtId="0" fontId="22" fillId="0" borderId="0" applyNumberFormat="0" applyFont="0" applyFill="0" applyBorder="0" applyAlignment="0" applyProtection="0">
      <alignment horizontal="left" vertical="center"/>
    </xf>
    <xf numFmtId="0" fontId="36" fillId="0" borderId="0">
      <alignment vertical="center"/>
    </xf>
    <xf numFmtId="0" fontId="49" fillId="9" borderId="0" applyProtection="0">
      <alignment vertical="center"/>
    </xf>
    <xf numFmtId="0" fontId="36" fillId="0" borderId="0">
      <alignment vertical="center"/>
    </xf>
    <xf numFmtId="49" fontId="22" fillId="0" borderId="5">
      <alignment vertical="center" wrapText="1"/>
    </xf>
    <xf numFmtId="49" fontId="22" fillId="0" borderId="5">
      <alignment vertical="center" wrapText="1"/>
    </xf>
    <xf numFmtId="0" fontId="40" fillId="0" borderId="0">
      <alignment horizontal="center" vertical="center" wrapText="1"/>
      <protection locked="0"/>
    </xf>
    <xf numFmtId="0" fontId="41" fillId="0" borderId="0"/>
    <xf numFmtId="181" fontId="5" fillId="0" borderId="5">
      <alignment horizontal="right" vertical="center" wrapText="1"/>
    </xf>
    <xf numFmtId="0" fontId="36" fillId="0" borderId="0"/>
    <xf numFmtId="178" fontId="22" fillId="0" borderId="5">
      <alignment horizontal="right" vertical="center" wrapText="1"/>
    </xf>
    <xf numFmtId="178" fontId="22" fillId="0" borderId="5">
      <alignment horizontal="right" vertical="center" wrapText="1"/>
    </xf>
    <xf numFmtId="0" fontId="61" fillId="11" borderId="0" applyNumberFormat="0" applyBorder="0" applyAlignment="0" applyProtection="0">
      <alignment vertical="center"/>
    </xf>
    <xf numFmtId="181" fontId="5" fillId="0" borderId="5">
      <alignment horizontal="right" vertical="center" wrapText="1"/>
    </xf>
    <xf numFmtId="0" fontId="36" fillId="0" borderId="0"/>
    <xf numFmtId="178" fontId="22" fillId="0" borderId="5" applyProtection="0">
      <alignment horizontal="right" vertical="center" wrapText="1"/>
    </xf>
    <xf numFmtId="0" fontId="24" fillId="13"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61" fillId="11" borderId="0" applyNumberFormat="0" applyBorder="0" applyAlignment="0" applyProtection="0">
      <alignment vertical="center"/>
    </xf>
    <xf numFmtId="0" fontId="36" fillId="0" borderId="0"/>
    <xf numFmtId="0" fontId="36" fillId="0" borderId="0"/>
    <xf numFmtId="178" fontId="22" fillId="0" borderId="5" applyProtection="0">
      <alignment horizontal="right" vertical="center" wrapText="1"/>
    </xf>
    <xf numFmtId="0" fontId="24" fillId="13"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61" fillId="11" borderId="0" applyNumberFormat="0" applyBorder="0" applyAlignment="0" applyProtection="0">
      <alignment vertical="center"/>
    </xf>
    <xf numFmtId="0" fontId="36" fillId="0" borderId="0"/>
    <xf numFmtId="0" fontId="36" fillId="0" borderId="0"/>
    <xf numFmtId="178" fontId="22" fillId="0" borderId="5" applyProtection="0">
      <alignment horizontal="right" vertical="center" wrapText="1"/>
    </xf>
    <xf numFmtId="0" fontId="24" fillId="13"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0" fontId="61" fillId="11" borderId="0" applyNumberFormat="0" applyBorder="0" applyAlignment="0" applyProtection="0">
      <alignment vertical="center"/>
    </xf>
    <xf numFmtId="0" fontId="36" fillId="0" borderId="0"/>
    <xf numFmtId="0" fontId="36" fillId="0" borderId="0"/>
    <xf numFmtId="178" fontId="22" fillId="0" borderId="5" applyProtection="0">
      <alignment horizontal="right" vertical="center" wrapText="1"/>
    </xf>
    <xf numFmtId="0" fontId="24" fillId="13"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61" fillId="11" borderId="0" applyNumberFormat="0" applyBorder="0" applyAlignment="0" applyProtection="0">
      <alignment vertical="center"/>
    </xf>
    <xf numFmtId="0" fontId="36" fillId="0" borderId="0"/>
    <xf numFmtId="0" fontId="36" fillId="0" borderId="0"/>
    <xf numFmtId="178" fontId="22" fillId="0" borderId="5" applyProtection="0">
      <alignment horizontal="right" vertical="center" wrapText="1"/>
    </xf>
    <xf numFmtId="0" fontId="24" fillId="13"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61" fillId="11" borderId="0" applyNumberFormat="0" applyBorder="0" applyAlignment="0" applyProtection="0">
      <alignment vertical="center"/>
    </xf>
    <xf numFmtId="49" fontId="22" fillId="0" borderId="5">
      <alignment vertical="center" wrapText="1"/>
    </xf>
    <xf numFmtId="0" fontId="36" fillId="0" borderId="0"/>
    <xf numFmtId="0" fontId="36" fillId="0" borderId="0"/>
    <xf numFmtId="178" fontId="22" fillId="0" borderId="5" applyProtection="0">
      <alignment horizontal="right" vertical="center" wrapText="1"/>
    </xf>
    <xf numFmtId="0" fontId="24" fillId="13" borderId="0" applyNumberFormat="0" applyBorder="0" applyAlignment="0" applyProtection="0">
      <alignment vertical="center"/>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0" fontId="49" fillId="11" borderId="0" applyNumberFormat="0" applyBorder="0" applyAlignment="0" applyProtection="0">
      <alignment vertical="center"/>
    </xf>
    <xf numFmtId="49" fontId="22" fillId="0" borderId="5">
      <alignment vertical="center" wrapText="1"/>
    </xf>
    <xf numFmtId="0" fontId="36" fillId="0" borderId="0"/>
    <xf numFmtId="0" fontId="36" fillId="0" borderId="0"/>
    <xf numFmtId="178" fontId="22" fillId="0" borderId="5" applyProtection="0">
      <alignment horizontal="right" vertical="center" wrapText="1"/>
    </xf>
    <xf numFmtId="0" fontId="24" fillId="16" borderId="0" applyNumberFormat="0" applyBorder="0" applyAlignment="0" applyProtection="0">
      <alignment vertical="center"/>
    </xf>
    <xf numFmtId="49" fontId="22" fillId="0" borderId="5">
      <alignment vertical="center" wrapText="1"/>
    </xf>
    <xf numFmtId="0" fontId="36" fillId="0" borderId="0"/>
    <xf numFmtId="0" fontId="36" fillId="0" borderId="0"/>
    <xf numFmtId="49" fontId="22" fillId="0" borderId="5">
      <alignment vertical="center" wrapText="1"/>
    </xf>
    <xf numFmtId="0" fontId="36" fillId="0" borderId="0"/>
    <xf numFmtId="0" fontId="36" fillId="0" borderId="0"/>
    <xf numFmtId="49" fontId="22" fillId="0" borderId="5">
      <alignment vertical="center" wrapText="1"/>
    </xf>
    <xf numFmtId="0" fontId="36" fillId="0" borderId="0"/>
    <xf numFmtId="0" fontId="36" fillId="0" borderId="0"/>
    <xf numFmtId="49" fontId="22" fillId="0" borderId="5">
      <alignment vertical="center" wrapText="1"/>
    </xf>
    <xf numFmtId="0" fontId="36" fillId="0" borderId="0"/>
    <xf numFmtId="0" fontId="36" fillId="0" borderId="0"/>
    <xf numFmtId="49" fontId="22" fillId="0" borderId="5">
      <alignment vertical="center" wrapText="1"/>
    </xf>
    <xf numFmtId="0" fontId="36" fillId="0" borderId="0"/>
    <xf numFmtId="15" fontId="46" fillId="0" borderId="0">
      <alignment vertical="center"/>
    </xf>
    <xf numFmtId="0" fontId="36" fillId="0" borderId="0"/>
    <xf numFmtId="15" fontId="46" fillId="0" borderId="0">
      <alignment vertical="center"/>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36" fillId="0" borderId="0"/>
    <xf numFmtId="49" fontId="22" fillId="0" borderId="5">
      <alignment horizontal="center" vertical="center" wrapText="1"/>
    </xf>
    <xf numFmtId="49" fontId="22" fillId="0" borderId="5">
      <alignment horizontal="center" vertical="center" wrapText="1"/>
    </xf>
    <xf numFmtId="0" fontId="47"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36" fillId="0" borderId="0"/>
    <xf numFmtId="181" fontId="5" fillId="0" borderId="5" applyProtection="0">
      <alignment horizontal="right" vertical="center" wrapText="1"/>
    </xf>
    <xf numFmtId="181" fontId="5" fillId="0" borderId="5" applyProtection="0">
      <alignment horizontal="right" vertical="center" wrapText="1"/>
    </xf>
    <xf numFmtId="0" fontId="36" fillId="0" borderId="0"/>
    <xf numFmtId="49" fontId="22" fillId="0" borderId="5">
      <alignment horizontal="center" vertical="center" wrapText="1"/>
    </xf>
    <xf numFmtId="49" fontId="22" fillId="0" borderId="5">
      <alignment horizontal="center" vertical="center" wrapText="1"/>
    </xf>
    <xf numFmtId="0" fontId="47" fillId="0" borderId="0">
      <alignment vertical="center"/>
    </xf>
    <xf numFmtId="0" fontId="44" fillId="0" borderId="27" applyNumberFormat="0" applyAlignment="0" applyProtection="0">
      <alignment horizontal="left" vertical="center"/>
    </xf>
    <xf numFmtId="178" fontId="5" fillId="0" borderId="5" applyProtection="0">
      <alignment horizontal="right" vertical="center" wrapText="1"/>
    </xf>
    <xf numFmtId="178" fontId="5" fillId="0" borderId="5" applyProtection="0">
      <alignment horizontal="right" vertical="center" wrapText="1"/>
    </xf>
    <xf numFmtId="0" fontId="36" fillId="0" borderId="0"/>
    <xf numFmtId="181" fontId="5" fillId="0" borderId="5" applyProtection="0">
      <alignment horizontal="right" vertical="center" wrapText="1"/>
    </xf>
    <xf numFmtId="181" fontId="5" fillId="0" borderId="5" applyProtection="0">
      <alignment horizontal="right" vertical="center" wrapText="1"/>
    </xf>
    <xf numFmtId="0" fontId="36" fillId="0" borderId="0"/>
    <xf numFmtId="0" fontId="109" fillId="0" borderId="0">
      <alignment vertical="center"/>
    </xf>
    <xf numFmtId="49" fontId="5" fillId="0" borderId="5">
      <alignment vertical="center" wrapText="1"/>
    </xf>
    <xf numFmtId="0" fontId="44" fillId="0" borderId="27" applyNumberFormat="0" applyAlignment="0" applyProtection="0">
      <alignment horizontal="lef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24" fillId="22" borderId="0" applyProtection="0">
      <alignment vertical="center"/>
    </xf>
    <xf numFmtId="0" fontId="36" fillId="0" borderId="0">
      <alignment vertical="center"/>
    </xf>
    <xf numFmtId="0" fontId="24" fillId="22" borderId="0" applyNumberFormat="0" applyBorder="0" applyAlignment="0" applyProtection="0">
      <alignment vertical="center"/>
    </xf>
    <xf numFmtId="177" fontId="19" fillId="0" borderId="0">
      <alignment vertical="center"/>
    </xf>
    <xf numFmtId="0" fontId="53" fillId="0" borderId="25">
      <alignment horizontal="center"/>
    </xf>
    <xf numFmtId="0" fontId="53" fillId="0" borderId="25">
      <alignment horizontal="center"/>
    </xf>
    <xf numFmtId="0" fontId="36" fillId="0" borderId="0">
      <alignment vertical="center"/>
    </xf>
    <xf numFmtId="0" fontId="61" fillId="20" borderId="0" applyNumberFormat="0" applyBorder="0" applyAlignment="0" applyProtection="0">
      <alignment vertical="center"/>
    </xf>
    <xf numFmtId="0" fontId="53" fillId="0" borderId="25">
      <alignment horizontal="center"/>
    </xf>
    <xf numFmtId="0" fontId="53" fillId="0" borderId="25">
      <alignment horizont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24" fillId="22" borderId="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pplyProtection="0">
      <alignment vertical="center"/>
    </xf>
    <xf numFmtId="0" fontId="36" fillId="0" borderId="0">
      <alignment vertical="center"/>
    </xf>
    <xf numFmtId="0" fontId="36" fillId="0" borderId="0"/>
    <xf numFmtId="0" fontId="47"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4" fontId="40" fillId="0" borderId="0">
      <alignment horizontal="center" vertical="center" wrapText="1"/>
      <protection locked="0"/>
    </xf>
    <xf numFmtId="0" fontId="24" fillId="15" borderId="0" applyNumberFormat="0" applyBorder="0" applyAlignment="0" applyProtection="0">
      <alignment vertical="center"/>
    </xf>
    <xf numFmtId="0" fontId="36" fillId="0" borderId="0">
      <alignment vertical="center"/>
    </xf>
    <xf numFmtId="38" fontId="38" fillId="13" borderId="0" applyNumberFormat="0" applyBorder="0" applyAlignment="0" applyProtection="0"/>
    <xf numFmtId="0" fontId="36" fillId="0" borderId="0">
      <alignment vertical="center"/>
    </xf>
    <xf numFmtId="0" fontId="38" fillId="13" borderId="0"/>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53" fillId="0" borderId="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0" fontId="24" fillId="10" borderId="0" applyProtection="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53" fillId="0" borderId="0">
      <alignment horizontal="center"/>
    </xf>
    <xf numFmtId="49" fontId="22" fillId="0" borderId="5" applyProtection="0">
      <alignment vertical="center" wrapText="1"/>
    </xf>
    <xf numFmtId="0" fontId="36" fillId="0" borderId="0">
      <alignment vertical="center"/>
    </xf>
    <xf numFmtId="0" fontId="41" fillId="0" borderId="0"/>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44" fillId="0" borderId="7">
      <alignment horizontal="lef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21" borderId="0" applyProtection="0">
      <alignment vertical="center"/>
    </xf>
    <xf numFmtId="15" fontId="46" fillId="0" borderId="0" applyFont="0" applyFill="0" applyBorder="0" applyAlignment="0" applyProtection="0"/>
    <xf numFmtId="0" fontId="36" fillId="0" borderId="0">
      <alignment vertical="center"/>
    </xf>
    <xf numFmtId="0" fontId="24" fillId="21" borderId="0" applyNumberFormat="0" applyBorder="0" applyAlignment="0" applyProtection="0">
      <alignment vertical="center"/>
    </xf>
    <xf numFmtId="177" fontId="19" fillId="0" borderId="0">
      <alignment vertical="center"/>
    </xf>
    <xf numFmtId="0" fontId="44" fillId="0" borderId="7">
      <alignment horizontal="left" vertical="center"/>
    </xf>
    <xf numFmtId="0" fontId="36" fillId="0" borderId="0">
      <alignment vertical="center"/>
    </xf>
    <xf numFmtId="177" fontId="19" fillId="0" borderId="0">
      <alignment vertical="center"/>
    </xf>
    <xf numFmtId="49" fontId="5" fillId="0" borderId="5">
      <alignment vertical="center" wrapText="1"/>
    </xf>
    <xf numFmtId="0" fontId="44" fillId="0" borderId="7">
      <alignment horizontal="lef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21" borderId="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0" fontId="24" fillId="5" borderId="0" applyNumberFormat="0" applyBorder="0" applyAlignment="0" applyProtection="0">
      <alignment vertical="center"/>
    </xf>
    <xf numFmtId="0" fontId="36" fillId="0" borderId="0">
      <alignment vertical="center"/>
    </xf>
    <xf numFmtId="0" fontId="36" fillId="0" borderId="0">
      <alignment vertical="center"/>
    </xf>
    <xf numFmtId="15" fontId="46" fillId="0" borderId="0">
      <alignment vertical="center"/>
    </xf>
    <xf numFmtId="49" fontId="22" fillId="0" borderId="5" applyProtection="0">
      <alignment vertical="center" wrapText="1"/>
    </xf>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40" fillId="0" borderId="0">
      <alignment horizontal="center" wrapText="1"/>
      <protection locked="0"/>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40" fillId="0" borderId="0">
      <alignment horizontal="center" vertical="center" wrapText="1"/>
      <protection locked="0"/>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0" fontId="24" fillId="26" borderId="0" applyProtection="0">
      <alignment vertical="center"/>
    </xf>
    <xf numFmtId="0" fontId="40" fillId="0" borderId="0">
      <alignment horizontal="center" wrapText="1"/>
      <protection locked="0"/>
    </xf>
    <xf numFmtId="0" fontId="4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49" fontId="22" fillId="0" borderId="5">
      <alignment vertical="center" wrapText="1"/>
    </xf>
    <xf numFmtId="49" fontId="22" fillId="0" borderId="5">
      <alignment vertical="center" wrapText="1"/>
    </xf>
    <xf numFmtId="0" fontId="36" fillId="0" borderId="0">
      <alignment vertical="center"/>
    </xf>
    <xf numFmtId="0" fontId="37" fillId="0" borderId="0"/>
    <xf numFmtId="0" fontId="37" fillId="0" borderId="0"/>
    <xf numFmtId="49" fontId="22" fillId="0" borderId="5">
      <alignment vertical="center" wrapText="1"/>
    </xf>
    <xf numFmtId="49" fontId="22" fillId="0" borderId="5">
      <alignment vertical="center" wrapText="1"/>
    </xf>
    <xf numFmtId="0" fontId="36" fillId="0" borderId="0">
      <alignment vertical="center"/>
    </xf>
    <xf numFmtId="0" fontId="37" fillId="0" borderId="0"/>
    <xf numFmtId="0" fontId="37" fillId="0" borderId="0"/>
    <xf numFmtId="0" fontId="47"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lignment vertical="center"/>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lignment vertical="center"/>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188" fontId="19" fillId="0" borderId="0"/>
    <xf numFmtId="0" fontId="37" fillId="0" borderId="0">
      <alignment vertical="center"/>
    </xf>
    <xf numFmtId="0" fontId="53" fillId="0" borderId="25">
      <alignment horizontal="center" vertical="center"/>
    </xf>
    <xf numFmtId="0" fontId="37" fillId="0" borderId="0">
      <alignment vertical="center"/>
    </xf>
    <xf numFmtId="0" fontId="38" fillId="13" borderId="0" applyNumberFormat="0" applyBorder="0" applyAlignment="0" applyProtection="0">
      <alignment vertical="center"/>
    </xf>
    <xf numFmtId="0" fontId="37" fillId="0" borderId="0">
      <alignment vertical="center"/>
    </xf>
    <xf numFmtId="0" fontId="38" fillId="13" borderId="0"/>
    <xf numFmtId="49" fontId="5" fillId="0" borderId="5">
      <alignment horizontal="center" vertical="center" wrapText="1"/>
    </xf>
    <xf numFmtId="49" fontId="5" fillId="0" borderId="5">
      <alignment horizontal="center"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6" fillId="0" borderId="0" applyProtection="0"/>
    <xf numFmtId="0" fontId="36" fillId="0" borderId="0">
      <alignment vertical="center"/>
    </xf>
    <xf numFmtId="0" fontId="37" fillId="0" borderId="0">
      <alignment vertical="center"/>
    </xf>
    <xf numFmtId="0" fontId="36" fillId="0" borderId="0">
      <alignment vertical="center"/>
    </xf>
    <xf numFmtId="0" fontId="40" fillId="0" borderId="0">
      <alignment horizontal="center" vertical="center" wrapText="1"/>
      <protection locked="0"/>
    </xf>
    <xf numFmtId="49" fontId="5" fillId="0" borderId="5" applyProtection="0">
      <alignment vertical="center" wrapText="1"/>
    </xf>
    <xf numFmtId="49" fontId="5" fillId="0" borderId="5" applyProtection="0">
      <alignment vertical="center" wrapText="1"/>
    </xf>
    <xf numFmtId="0" fontId="37" fillId="0" borderId="0">
      <alignment vertical="center"/>
    </xf>
    <xf numFmtId="0" fontId="36" fillId="0" borderId="0">
      <alignment vertical="center"/>
    </xf>
    <xf numFmtId="0" fontId="40" fillId="0" borderId="0">
      <alignment horizontal="center" vertical="center" wrapText="1"/>
      <protection locked="0"/>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6" fillId="0" borderId="0">
      <alignment vertical="center"/>
    </xf>
    <xf numFmtId="0" fontId="37" fillId="0" borderId="0">
      <alignment vertical="center"/>
    </xf>
    <xf numFmtId="0" fontId="36" fillId="0" borderId="0">
      <alignment vertical="center"/>
    </xf>
    <xf numFmtId="0" fontId="40" fillId="0" borderId="0">
      <alignment horizontal="center" vertical="center" wrapText="1"/>
      <protection locked="0"/>
    </xf>
    <xf numFmtId="49" fontId="5" fillId="0" borderId="5" applyProtection="0">
      <alignment vertical="center" wrapText="1"/>
    </xf>
    <xf numFmtId="49" fontId="5" fillId="0" borderId="5" applyProtection="0">
      <alignment vertical="center" wrapText="1"/>
    </xf>
    <xf numFmtId="0" fontId="37" fillId="0" borderId="0">
      <alignment vertical="center"/>
    </xf>
    <xf numFmtId="0" fontId="36" fillId="0" borderId="0">
      <alignment vertical="center"/>
    </xf>
    <xf numFmtId="0" fontId="40" fillId="0" borderId="0">
      <alignment horizontal="center" vertical="center" wrapText="1"/>
      <protection locked="0"/>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7"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0" fontId="37"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7" fillId="0" borderId="0">
      <alignment vertical="center"/>
    </xf>
    <xf numFmtId="0" fontId="36" fillId="0" borderId="0">
      <alignment vertical="center"/>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63" fillId="18" borderId="31">
      <alignment horizontal="left" vertical="center" indent="1"/>
    </xf>
    <xf numFmtId="0" fontId="36" fillId="0" borderId="0"/>
    <xf numFmtId="0" fontId="37" fillId="0" borderId="0">
      <alignment vertical="center"/>
    </xf>
    <xf numFmtId="0" fontId="36" fillId="0" borderId="0">
      <alignment vertical="center"/>
    </xf>
    <xf numFmtId="0" fontId="37" fillId="0" borderId="0">
      <alignment vertical="center"/>
    </xf>
    <xf numFmtId="178" fontId="5" fillId="0" borderId="5" applyProtection="0">
      <alignment horizontal="right" vertical="center" wrapText="1"/>
    </xf>
    <xf numFmtId="15" fontId="46" fillId="0" borderId="0">
      <alignment vertical="center"/>
    </xf>
    <xf numFmtId="0" fontId="37" fillId="0" borderId="0"/>
    <xf numFmtId="49" fontId="22" fillId="0" borderId="5">
      <alignment horizontal="center" vertical="center" wrapText="1"/>
    </xf>
    <xf numFmtId="49" fontId="22" fillId="0" borderId="5">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0" fontId="37"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8" fontId="19" fillId="0" borderId="0">
      <alignment vertical="center"/>
    </xf>
    <xf numFmtId="0" fontId="44" fillId="0" borderId="7">
      <alignment horizontal="lef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lignment vertical="center"/>
    </xf>
    <xf numFmtId="0" fontId="44" fillId="0" borderId="7">
      <alignment horizontal="left" vertical="center"/>
    </xf>
    <xf numFmtId="0" fontId="37" fillId="0" borderId="0">
      <alignment vertical="center"/>
    </xf>
    <xf numFmtId="0" fontId="53" fillId="0" borderId="25">
      <alignment horizontal="center" vertical="center"/>
    </xf>
    <xf numFmtId="0" fontId="37" fillId="0" borderId="0">
      <alignment vertical="center"/>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189" fontId="48" fillId="0" borderId="0" applyFill="0" applyBorder="0" applyAlignment="0"/>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44" fillId="0" borderId="7">
      <alignment horizontal="lef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181" fontId="22" fillId="0" borderId="5">
      <alignment horizontal="right" vertical="center" wrapText="1"/>
    </xf>
    <xf numFmtId="0" fontId="37" fillId="0" borderId="0">
      <alignment vertical="center"/>
    </xf>
    <xf numFmtId="49" fontId="5" fillId="0" borderId="5" applyProtection="0">
      <alignment vertical="center" wrapText="1"/>
    </xf>
    <xf numFmtId="49" fontId="5" fillId="0" borderId="5" applyProtection="0">
      <alignment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181" fontId="22" fillId="0" borderId="5">
      <alignment horizontal="right" vertical="center" wrapText="1"/>
    </xf>
    <xf numFmtId="0" fontId="37" fillId="0" borderId="0">
      <alignment vertical="center"/>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49" fontId="5" fillId="0" borderId="5">
      <alignment horizontal="center" vertical="center" wrapText="1"/>
    </xf>
    <xf numFmtId="49" fontId="5" fillId="0" borderId="5">
      <alignment horizontal="center" vertical="center" wrapText="1"/>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53" fillId="0" borderId="25">
      <alignment horizontal="center" vertical="center"/>
    </xf>
    <xf numFmtId="0" fontId="37" fillId="0" borderId="0">
      <alignment vertical="center"/>
    </xf>
    <xf numFmtId="0" fontId="37" fillId="0" borderId="0">
      <alignment vertical="center"/>
    </xf>
    <xf numFmtId="0" fontId="37" fillId="0" borderId="0">
      <alignment vertical="center"/>
    </xf>
    <xf numFmtId="198" fontId="76" fillId="0" borderId="32">
      <alignment horizontal="left"/>
    </xf>
    <xf numFmtId="0" fontId="37" fillId="0" borderId="0">
      <alignment vertical="center"/>
    </xf>
    <xf numFmtId="198" fontId="77" fillId="0" borderId="30">
      <alignment horizontal="left" vertical="center"/>
    </xf>
    <xf numFmtId="0" fontId="53" fillId="0" borderId="25">
      <alignment horizontal="center" vertical="center"/>
    </xf>
    <xf numFmtId="49" fontId="5" fillId="0" borderId="5">
      <alignment horizontal="center" vertical="center" wrapText="1"/>
    </xf>
    <xf numFmtId="0" fontId="37" fillId="0" borderId="0">
      <alignment vertical="center"/>
    </xf>
    <xf numFmtId="198" fontId="76" fillId="0" borderId="32">
      <alignment horizontal="left"/>
    </xf>
    <xf numFmtId="0" fontId="43" fillId="7" borderId="3">
      <alignment vertical="center"/>
      <protection locked="0"/>
    </xf>
    <xf numFmtId="0" fontId="37" fillId="0" borderId="0">
      <alignment vertical="center"/>
    </xf>
    <xf numFmtId="0" fontId="43" fillId="7" borderId="3">
      <alignment vertical="center"/>
      <protection locked="0"/>
    </xf>
    <xf numFmtId="0" fontId="37" fillId="0" borderId="0">
      <alignment vertical="center"/>
    </xf>
    <xf numFmtId="0" fontId="37" fillId="0" borderId="0">
      <alignment vertical="center"/>
    </xf>
    <xf numFmtId="0" fontId="53" fillId="0" borderId="25">
      <alignment horizontal="center" vertical="center"/>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0" fontId="37" fillId="0" borderId="0">
      <alignment vertical="center"/>
    </xf>
    <xf numFmtId="0" fontId="37" fillId="0" borderId="0"/>
    <xf numFmtId="0" fontId="47" fillId="0" borderId="0"/>
    <xf numFmtId="49" fontId="5" fillId="0" borderId="5" applyProtection="0">
      <alignment vertical="center" wrapText="1"/>
    </xf>
    <xf numFmtId="49" fontId="5" fillId="0" borderId="5" applyProtection="0">
      <alignment vertical="center" wrapText="1"/>
    </xf>
    <xf numFmtId="0" fontId="36" fillId="0" borderId="0">
      <alignment vertical="center"/>
    </xf>
    <xf numFmtId="188" fontId="19"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53" fillId="0" borderId="0">
      <alignment horizontal="center" vertical="center"/>
    </xf>
    <xf numFmtId="0" fontId="36" fillId="0" borderId="0">
      <alignment vertical="center"/>
    </xf>
    <xf numFmtId="0" fontId="24" fillId="14" borderId="0" applyNumberFormat="0" applyBorder="0" applyAlignment="0" applyProtection="0">
      <alignment vertical="center"/>
    </xf>
    <xf numFmtId="49" fontId="22" fillId="0" borderId="5" applyProtection="0">
      <alignment vertical="center" wrapText="1"/>
    </xf>
    <xf numFmtId="49" fontId="22" fillId="0" borderId="5" applyProtection="0">
      <alignment vertical="center" wrapText="1"/>
    </xf>
    <xf numFmtId="195" fontId="19" fillId="0" borderId="0">
      <alignment vertical="center"/>
    </xf>
    <xf numFmtId="49" fontId="22" fillId="0" borderId="5" applyProtection="0">
      <alignment horizontal="center" vertical="center" wrapText="1"/>
    </xf>
    <xf numFmtId="0" fontId="36" fillId="0" borderId="0">
      <alignment vertical="center"/>
    </xf>
    <xf numFmtId="0" fontId="47" fillId="0" borderId="0">
      <alignment vertical="center"/>
      <protection locked="0"/>
    </xf>
    <xf numFmtId="49" fontId="5" fillId="0" borderId="5" applyProtection="0">
      <alignment vertical="center" wrapText="1"/>
    </xf>
    <xf numFmtId="49" fontId="5" fillId="0" borderId="5" applyProtection="0">
      <alignmen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53" fillId="0" borderId="0">
      <alignment horizontal="center"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5" fillId="0" borderId="5" applyProtection="0">
      <alignmen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0" fontId="47" fillId="0" borderId="0">
      <alignment vertical="center"/>
      <protection locked="0"/>
    </xf>
    <xf numFmtId="0" fontId="36" fillId="0" borderId="0"/>
    <xf numFmtId="0" fontId="36" fillId="0" borderId="0"/>
    <xf numFmtId="0" fontId="44" fillId="0" borderId="7">
      <alignment horizontal="left" vertical="center"/>
    </xf>
    <xf numFmtId="0" fontId="36" fillId="0" borderId="0"/>
    <xf numFmtId="0" fontId="36" fillId="0" borderId="0"/>
    <xf numFmtId="0" fontId="36" fillId="0" borderId="0"/>
    <xf numFmtId="0" fontId="36" fillId="0" borderId="0"/>
    <xf numFmtId="0" fontId="36" fillId="0" borderId="0"/>
    <xf numFmtId="0" fontId="36" fillId="0" borderId="0"/>
    <xf numFmtId="0" fontId="24" fillId="13" borderId="0" applyNumberFormat="0" applyBorder="0" applyAlignment="0" applyProtection="0">
      <alignment vertical="center"/>
    </xf>
    <xf numFmtId="0" fontId="37" fillId="0" borderId="0">
      <alignment vertical="center"/>
    </xf>
    <xf numFmtId="0" fontId="44" fillId="0" borderId="27" applyNumberFormat="0" applyAlignment="0" applyProtection="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0" fontId="36" fillId="0" borderId="0">
      <alignment vertical="center"/>
    </xf>
    <xf numFmtId="0" fontId="36" fillId="0" borderId="0">
      <alignment vertical="center"/>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8" fontId="19" fillId="0" borderId="0">
      <alignment vertical="center"/>
    </xf>
    <xf numFmtId="0" fontId="36" fillId="0" borderId="0">
      <alignment vertical="center"/>
    </xf>
    <xf numFmtId="49" fontId="22" fillId="0" borderId="5" applyProtection="0">
      <alignment vertical="center" wrapText="1"/>
    </xf>
    <xf numFmtId="0" fontId="37" fillId="0" borderId="0">
      <alignment vertical="center"/>
    </xf>
    <xf numFmtId="0" fontId="36" fillId="0" borderId="0">
      <alignment vertical="center"/>
    </xf>
    <xf numFmtId="200" fontId="64" fillId="0" borderId="32" applyFill="0" applyBorder="0" applyProtection="0">
      <alignment horizontal="right" vertical="top"/>
    </xf>
    <xf numFmtId="0" fontId="36" fillId="0" borderId="0">
      <alignment vertical="center"/>
    </xf>
    <xf numFmtId="49" fontId="22" fillId="0" borderId="5" applyProtection="0">
      <alignmen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49" fontId="22" fillId="0" borderId="5" applyProtection="0">
      <alignment vertical="center" wrapText="1"/>
    </xf>
    <xf numFmtId="0" fontId="36"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8" fontId="5" fillId="0" borderId="5">
      <alignment horizontal="right" vertical="center" wrapText="1"/>
    </xf>
    <xf numFmtId="0" fontId="36" fillId="0" borderId="0"/>
    <xf numFmtId="0" fontId="36" fillId="0" borderId="0">
      <alignment vertical="center"/>
    </xf>
    <xf numFmtId="49" fontId="22" fillId="0" borderId="5">
      <alignment horizontal="center" vertical="center" wrapText="1"/>
    </xf>
    <xf numFmtId="0" fontId="36" fillId="0" borderId="0" applyProtection="0">
      <alignment vertical="center"/>
    </xf>
    <xf numFmtId="178" fontId="5" fillId="0" borderId="5">
      <alignment horizontal="right" vertical="center" wrapText="1"/>
    </xf>
    <xf numFmtId="0" fontId="36" fillId="0" borderId="0"/>
    <xf numFmtId="49" fontId="22" fillId="0" borderId="5">
      <alignment vertical="center" wrapText="1"/>
    </xf>
    <xf numFmtId="49" fontId="22" fillId="0" borderId="5">
      <alignment vertical="center" wrapText="1"/>
    </xf>
    <xf numFmtId="49" fontId="22" fillId="0" borderId="5" applyProtection="0">
      <alignment vertical="center" wrapText="1"/>
    </xf>
    <xf numFmtId="0" fontId="36"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8" fontId="5" fillId="0" borderId="5">
      <alignment horizontal="right" vertical="center" wrapText="1"/>
    </xf>
    <xf numFmtId="0" fontId="36" fillId="0" borderId="0"/>
    <xf numFmtId="178" fontId="5" fillId="0" borderId="5" applyProtection="0">
      <alignment horizontal="right" vertical="center" wrapText="1"/>
    </xf>
    <xf numFmtId="178" fontId="5" fillId="0" borderId="5" applyProtection="0">
      <alignment horizontal="right" vertical="center" wrapText="1"/>
    </xf>
    <xf numFmtId="195" fontId="19" fillId="0" borderId="0">
      <alignment vertical="center"/>
    </xf>
    <xf numFmtId="0" fontId="36" fillId="0" borderId="0">
      <alignment vertical="center"/>
    </xf>
    <xf numFmtId="178" fontId="5" fillId="0" borderId="5">
      <alignment horizontal="right" vertical="center" wrapText="1"/>
    </xf>
    <xf numFmtId="0" fontId="36" fillId="0" borderId="0"/>
    <xf numFmtId="195" fontId="19" fillId="0" borderId="0">
      <alignment vertical="center"/>
    </xf>
    <xf numFmtId="49" fontId="22" fillId="0" borderId="5">
      <alignment vertical="center" wrapText="1"/>
    </xf>
    <xf numFmtId="49" fontId="22" fillId="0" borderId="5">
      <alignment vertical="center" wrapText="1"/>
    </xf>
    <xf numFmtId="49" fontId="22" fillId="0" borderId="5" applyProtection="0">
      <alignmen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49" fontId="22" fillId="0" borderId="5" applyProtection="0">
      <alignment vertical="center" wrapText="1"/>
    </xf>
    <xf numFmtId="0" fontId="36" fillId="0" borderId="0">
      <alignment vertical="center"/>
    </xf>
    <xf numFmtId="0" fontId="36" fillId="0" borderId="0">
      <alignment vertical="center"/>
    </xf>
    <xf numFmtId="0" fontId="36" fillId="0" borderId="0">
      <alignment vertical="center"/>
    </xf>
    <xf numFmtId="49" fontId="22" fillId="0" borderId="5">
      <alignment vertical="center" wrapText="1"/>
    </xf>
    <xf numFmtId="49" fontId="22" fillId="0" borderId="5">
      <alignment vertical="center" wrapText="1"/>
    </xf>
    <xf numFmtId="0" fontId="22" fillId="6" borderId="7"/>
    <xf numFmtId="0" fontId="36" fillId="0" borderId="0">
      <alignment vertical="center"/>
    </xf>
    <xf numFmtId="0" fontId="22" fillId="6" borderId="7"/>
    <xf numFmtId="0" fontId="36" fillId="0" borderId="0">
      <alignment vertical="center"/>
    </xf>
    <xf numFmtId="0" fontId="22" fillId="6" borderId="7"/>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40" fillId="0" borderId="0">
      <alignment horizontal="center" vertical="center" wrapText="1"/>
      <protection locked="0"/>
    </xf>
    <xf numFmtId="49" fontId="22" fillId="0" borderId="5">
      <alignment vertical="center" wrapText="1"/>
    </xf>
    <xf numFmtId="49" fontId="22" fillId="0" borderId="5">
      <alignment vertical="center" wrapText="1"/>
    </xf>
    <xf numFmtId="0" fontId="22" fillId="6" borderId="7"/>
    <xf numFmtId="0" fontId="36" fillId="0" borderId="0">
      <alignment vertical="center"/>
    </xf>
    <xf numFmtId="181" fontId="5" fillId="0" borderId="5" applyProtection="0">
      <alignment horizontal="right" vertical="center" wrapText="1"/>
    </xf>
    <xf numFmtId="0" fontId="40" fillId="0" borderId="0">
      <alignment horizontal="center" vertical="center" wrapText="1"/>
      <protection locked="0"/>
    </xf>
    <xf numFmtId="181" fontId="22" fillId="0" borderId="5">
      <alignment horizontal="right" vertical="center" wrapText="1"/>
    </xf>
    <xf numFmtId="181" fontId="22" fillId="0" borderId="5">
      <alignment horizontal="right" vertical="center" wrapText="1"/>
    </xf>
    <xf numFmtId="0" fontId="22" fillId="6" borderId="7"/>
    <xf numFmtId="0" fontId="22" fillId="27" borderId="0"/>
    <xf numFmtId="0" fontId="36" fillId="0" borderId="0">
      <alignment vertical="center"/>
    </xf>
    <xf numFmtId="0" fontId="37" fillId="0" borderId="0" applyProtection="0">
      <alignment vertical="center"/>
    </xf>
    <xf numFmtId="181" fontId="22" fillId="0" borderId="5">
      <alignment horizontal="right" vertical="center" wrapText="1"/>
    </xf>
    <xf numFmtId="181" fontId="22" fillId="0" borderId="5">
      <alignment horizontal="right" vertical="center" wrapText="1"/>
    </xf>
    <xf numFmtId="0" fontId="22" fillId="6" borderId="7"/>
    <xf numFmtId="0" fontId="22" fillId="27" borderId="0"/>
    <xf numFmtId="0" fontId="36" fillId="0" borderId="0">
      <alignment vertical="center"/>
    </xf>
    <xf numFmtId="0" fontId="37" fillId="0" borderId="0"/>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78" fontId="5" fillId="0" borderId="5" applyProtection="0">
      <alignment horizontal="right" vertical="center" wrapText="1"/>
    </xf>
    <xf numFmtId="0" fontId="47" fillId="0" borderId="0">
      <protection locked="0"/>
    </xf>
    <xf numFmtId="0" fontId="47" fillId="0" borderId="0">
      <protection locked="0"/>
    </xf>
    <xf numFmtId="189" fontId="48" fillId="0" borderId="0" applyFill="0" applyBorder="0" applyAlignment="0"/>
    <xf numFmtId="0" fontId="36" fillId="0" borderId="0">
      <alignment vertical="center"/>
    </xf>
    <xf numFmtId="178" fontId="5" fillId="0" borderId="5" applyProtection="0">
      <alignment horizontal="right" vertical="center" wrapText="1"/>
    </xf>
    <xf numFmtId="0" fontId="47" fillId="0" borderId="0">
      <protection locked="0"/>
    </xf>
    <xf numFmtId="0" fontId="47" fillId="0" borderId="0">
      <protection locked="0"/>
    </xf>
    <xf numFmtId="189" fontId="48" fillId="0" borderId="0"/>
    <xf numFmtId="0" fontId="36" fillId="0" borderId="0">
      <alignment vertical="center"/>
    </xf>
    <xf numFmtId="0" fontId="36" fillId="0" borderId="0">
      <alignment vertical="center"/>
    </xf>
    <xf numFmtId="49" fontId="22" fillId="0" borderId="5">
      <alignment horizontal="center" vertical="center" wrapText="1"/>
    </xf>
    <xf numFmtId="180" fontId="65" fillId="19" borderId="0"/>
    <xf numFmtId="15" fontId="46" fillId="0" borderId="0">
      <alignment vertical="center"/>
    </xf>
    <xf numFmtId="0" fontId="36" fillId="0" borderId="0">
      <alignment vertical="center"/>
    </xf>
    <xf numFmtId="49" fontId="22" fillId="0" borderId="5">
      <alignment horizontal="center" vertical="center" wrapText="1"/>
    </xf>
    <xf numFmtId="180" fontId="65" fillId="19" borderId="0"/>
    <xf numFmtId="15" fontId="46" fillId="0" borderId="0"/>
    <xf numFmtId="15" fontId="4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22" fillId="6" borderId="7"/>
    <xf numFmtId="0" fontId="36" fillId="0" borderId="0">
      <alignment vertical="center"/>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5" fontId="4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22" fillId="6" borderId="7"/>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22" fillId="6" borderId="7"/>
    <xf numFmtId="0" fontId="36" fillId="0" borderId="0">
      <alignment vertical="center"/>
    </xf>
    <xf numFmtId="0" fontId="22" fillId="6" borderId="7"/>
    <xf numFmtId="0" fontId="36" fillId="0" borderId="0">
      <alignment vertical="center"/>
    </xf>
    <xf numFmtId="49" fontId="22" fillId="0" borderId="5" applyProtection="0">
      <alignment vertical="center" wrapText="1"/>
    </xf>
    <xf numFmtId="181" fontId="5" fillId="0" borderId="5" applyProtection="0">
      <alignment horizontal="right" vertical="center" wrapText="1"/>
    </xf>
    <xf numFmtId="0" fontId="40" fillId="0" borderId="0">
      <alignment horizontal="center" vertical="center" wrapText="1"/>
      <protection locked="0"/>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5" fontId="46" fillId="0" borderId="0">
      <alignment vertical="center"/>
    </xf>
    <xf numFmtId="181" fontId="22" fillId="0" borderId="5">
      <alignment horizontal="right" vertical="center" wrapText="1"/>
    </xf>
    <xf numFmtId="181" fontId="22" fillId="0" borderId="5">
      <alignment horizontal="right" vertical="center" wrapText="1"/>
    </xf>
    <xf numFmtId="0" fontId="22" fillId="6" borderId="7"/>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22" fillId="6" borderId="7"/>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0" fontId="44" fillId="0" borderId="7">
      <alignment horizontal="left" vertical="center"/>
    </xf>
    <xf numFmtId="0" fontId="36" fillId="0" borderId="0">
      <alignment vertical="center"/>
    </xf>
    <xf numFmtId="0" fontId="44" fillId="0" borderId="7">
      <alignment horizontal="left" vertical="center"/>
    </xf>
    <xf numFmtId="0" fontId="36" fillId="0" borderId="0">
      <alignment vertical="center"/>
    </xf>
    <xf numFmtId="0" fontId="44" fillId="0" borderId="7">
      <alignment horizontal="left" vertical="center"/>
    </xf>
    <xf numFmtId="0" fontId="36" fillId="0" borderId="0">
      <alignment vertical="center"/>
    </xf>
    <xf numFmtId="0" fontId="44" fillId="0" borderId="7">
      <alignment horizontal="left" vertical="center"/>
    </xf>
    <xf numFmtId="0" fontId="36" fillId="0" borderId="0">
      <alignment vertical="center"/>
    </xf>
    <xf numFmtId="0" fontId="44" fillId="0" borderId="7">
      <alignment horizontal="left" vertical="center"/>
    </xf>
    <xf numFmtId="181" fontId="5" fillId="0" borderId="5" applyProtection="0">
      <alignment horizontal="right" vertical="center" wrapText="1"/>
    </xf>
    <xf numFmtId="0" fontId="36" fillId="0" borderId="0">
      <alignment vertical="center"/>
    </xf>
    <xf numFmtId="0" fontId="36" fillId="0" borderId="0" applyProtection="0">
      <alignment vertical="center"/>
    </xf>
    <xf numFmtId="0" fontId="38" fillId="5" borderId="5" applyNumberFormat="0" applyBorder="0" applyAlignment="0" applyProtection="0">
      <alignment vertical="center"/>
    </xf>
    <xf numFmtId="40" fontId="35" fillId="0" borderId="0">
      <alignment horizontal="right"/>
    </xf>
    <xf numFmtId="0" fontId="36" fillId="0" borderId="0" applyProtection="0">
      <alignment vertical="center"/>
    </xf>
    <xf numFmtId="40" fontId="35" fillId="0" borderId="0">
      <alignment horizontal="right"/>
    </xf>
    <xf numFmtId="0" fontId="36" fillId="0" borderId="0" applyProtection="0">
      <alignment vertical="center"/>
    </xf>
    <xf numFmtId="0" fontId="36" fillId="0" borderId="0"/>
    <xf numFmtId="0" fontId="38" fillId="5" borderId="5" applyNumberFormat="0" applyBorder="0" applyAlignment="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xf numFmtId="0" fontId="36"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xf numFmtId="0" fontId="36" fillId="0" borderId="0">
      <alignment vertical="center"/>
    </xf>
    <xf numFmtId="0" fontId="22" fillId="6" borderId="7" applyNumberFormat="0" applyFont="0" applyAlignment="0">
      <alignment horizontal="center" vertical="center"/>
    </xf>
    <xf numFmtId="0" fontId="45" fillId="6" borderId="7" applyNumberFormat="0" applyFont="0" applyAlignment="0">
      <alignment horizontal="center"/>
    </xf>
    <xf numFmtId="0" fontId="36" fillId="0" borderId="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applyProtection="0">
      <alignment vertical="center"/>
    </xf>
    <xf numFmtId="0" fontId="36" fillId="0" borderId="0"/>
    <xf numFmtId="0" fontId="36" fillId="0" borderId="0">
      <alignment vertical="center"/>
    </xf>
    <xf numFmtId="0" fontId="22" fillId="6" borderId="7" applyNumberFormat="0" applyFont="0" applyAlignment="0">
      <alignment horizontal="center" vertical="center"/>
    </xf>
    <xf numFmtId="0" fontId="45" fillId="6" borderId="7" applyNumberFormat="0" applyFont="0" applyAlignment="0">
      <alignment horizontal="center"/>
    </xf>
    <xf numFmtId="0" fontId="36" fillId="0" borderId="0" applyProtection="0">
      <alignment vertical="center"/>
    </xf>
    <xf numFmtId="0" fontId="40" fillId="0" borderId="0">
      <alignment horizontal="center" vertical="center" wrapText="1"/>
      <protection locked="0"/>
    </xf>
    <xf numFmtId="0" fontId="22" fillId="5" borderId="36" applyNumberFormat="0" applyFont="0" applyAlignment="0" applyProtection="0">
      <alignment vertical="center"/>
    </xf>
    <xf numFmtId="0" fontId="36" fillId="0" borderId="0" applyProtection="0">
      <alignment vertical="center"/>
    </xf>
    <xf numFmtId="0" fontId="36" fillId="0" borderId="0"/>
    <xf numFmtId="0" fontId="36" fillId="0" borderId="0"/>
    <xf numFmtId="181" fontId="22" fillId="0" borderId="5">
      <alignment horizontal="right" vertical="center" wrapText="1"/>
    </xf>
    <xf numFmtId="0" fontId="36" fillId="0" borderId="0"/>
    <xf numFmtId="49" fontId="5" fillId="0" borderId="5">
      <alignment vertical="center" wrapText="1"/>
    </xf>
    <xf numFmtId="0" fontId="44" fillId="0" borderId="7">
      <alignment horizontal="left" vertical="center"/>
    </xf>
    <xf numFmtId="0" fontId="36" fillId="0" borderId="0" applyProtection="0">
      <alignment vertical="center"/>
    </xf>
    <xf numFmtId="0" fontId="36" fillId="0" borderId="0"/>
    <xf numFmtId="0" fontId="36" fillId="0" borderId="0"/>
    <xf numFmtId="181" fontId="5" fillId="0" borderId="5" applyProtection="0">
      <alignment horizontal="right" vertical="center" wrapText="1"/>
    </xf>
    <xf numFmtId="181" fontId="5" fillId="0" borderId="5" applyProtection="0">
      <alignment horizontal="right" vertical="center" wrapText="1"/>
    </xf>
    <xf numFmtId="0" fontId="36" fillId="0" borderId="0" applyProtection="0">
      <alignment vertical="center"/>
    </xf>
    <xf numFmtId="0" fontId="36" fillId="0" borderId="0" applyProtection="0">
      <alignment vertical="center"/>
    </xf>
    <xf numFmtId="0" fontId="36" fillId="0" borderId="0">
      <alignment vertical="center"/>
    </xf>
    <xf numFmtId="0" fontId="40" fillId="0" borderId="0">
      <alignment horizontal="center" vertical="center" wrapText="1"/>
      <protection locked="0"/>
    </xf>
    <xf numFmtId="0" fontId="22" fillId="5" borderId="36" applyNumberFormat="0" applyFont="0" applyAlignment="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pplyProtection="0">
      <alignment vertical="center"/>
    </xf>
    <xf numFmtId="0" fontId="36" fillId="0" borderId="0" applyProtection="0"/>
    <xf numFmtId="0" fontId="36" fillId="0" borderId="0">
      <alignment vertical="center"/>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pplyProtection="0">
      <alignment vertical="center"/>
    </xf>
    <xf numFmtId="0" fontId="36" fillId="0" borderId="0" applyProtection="0"/>
    <xf numFmtId="0" fontId="36" fillId="0" borderId="0">
      <alignment vertical="center"/>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pplyProtection="0">
      <alignment vertical="center"/>
    </xf>
    <xf numFmtId="0" fontId="36" fillId="0" borderId="0" applyProtection="0"/>
    <xf numFmtId="181" fontId="5" fillId="0" borderId="5" applyProtection="0">
      <alignment horizontal="right" vertical="center" wrapText="1"/>
    </xf>
    <xf numFmtId="0" fontId="36" fillId="0" borderId="0" applyProtection="0">
      <alignment vertical="center"/>
    </xf>
    <xf numFmtId="0" fontId="36" fillId="0" borderId="0"/>
    <xf numFmtId="0" fontId="78" fillId="0" borderId="0">
      <alignment horizontal="left"/>
    </xf>
    <xf numFmtId="0" fontId="36" fillId="0" borderId="0"/>
    <xf numFmtId="49" fontId="5" fillId="0" borderId="5">
      <alignment vertical="center" wrapText="1"/>
    </xf>
    <xf numFmtId="49" fontId="5" fillId="0" borderId="5">
      <alignment vertical="center" wrapText="1"/>
    </xf>
    <xf numFmtId="0" fontId="36" fillId="0" borderId="0"/>
    <xf numFmtId="49" fontId="5" fillId="0" borderId="5">
      <alignment vertical="center" wrapText="1"/>
    </xf>
    <xf numFmtId="49" fontId="5" fillId="0" borderId="5">
      <alignment vertical="center" wrapText="1"/>
    </xf>
    <xf numFmtId="0" fontId="36" fillId="0" borderId="0"/>
    <xf numFmtId="181" fontId="22" fillId="0" borderId="5">
      <alignment horizontal="right" vertical="center" wrapText="1"/>
    </xf>
    <xf numFmtId="181" fontId="22" fillId="0" borderId="5">
      <alignment horizontal="right" vertical="center" wrapText="1"/>
    </xf>
    <xf numFmtId="0" fontId="53" fillId="0" borderId="0">
      <alignment horizontal="center" vertical="center"/>
    </xf>
    <xf numFmtId="49" fontId="22" fillId="0" borderId="5" applyProtection="0">
      <alignment vertical="center" wrapText="1"/>
    </xf>
    <xf numFmtId="49" fontId="22" fillId="0" borderId="5" applyProtection="0">
      <alignment vertical="center" wrapText="1"/>
    </xf>
    <xf numFmtId="0" fontId="36" fillId="0" borderId="0" applyProtection="0"/>
    <xf numFmtId="49" fontId="22" fillId="0" borderId="5" applyProtection="0">
      <alignment vertical="center" wrapText="1"/>
    </xf>
    <xf numFmtId="49" fontId="22" fillId="0" borderId="5" applyProtection="0">
      <alignment vertical="center" wrapText="1"/>
    </xf>
    <xf numFmtId="0" fontId="36" fillId="0" borderId="0" applyProtection="0"/>
    <xf numFmtId="49" fontId="22" fillId="0" borderId="5" applyProtection="0">
      <alignment vertical="center" wrapText="1"/>
    </xf>
    <xf numFmtId="49" fontId="22" fillId="0" borderId="5" applyProtection="0">
      <alignment vertical="center" wrapText="1"/>
    </xf>
    <xf numFmtId="0" fontId="36" fillId="0" borderId="0" applyProtection="0"/>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0" fontId="36" fillId="0" borderId="0" applyProtection="0"/>
    <xf numFmtId="0" fontId="36" fillId="0" borderId="0"/>
    <xf numFmtId="15" fontId="46" fillId="0" borderId="0">
      <alignment vertical="center"/>
    </xf>
    <xf numFmtId="0" fontId="36" fillId="0" borderId="0"/>
    <xf numFmtId="178" fontId="22" fillId="0" borderId="5">
      <alignment horizontal="right" vertical="center" wrapText="1"/>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36" fillId="0" borderId="0">
      <alignment vertical="center"/>
    </xf>
    <xf numFmtId="0" fontId="36" fillId="0" borderId="0"/>
    <xf numFmtId="0" fontId="36" fillId="0" borderId="0"/>
    <xf numFmtId="181" fontId="22" fillId="0" borderId="5">
      <alignment horizontal="right" vertical="center" wrapText="1"/>
    </xf>
    <xf numFmtId="181" fontId="22" fillId="0" borderId="5">
      <alignment horizontal="right" vertical="center" wrapText="1"/>
    </xf>
    <xf numFmtId="0" fontId="53" fillId="0" borderId="0">
      <alignment horizontal="center" vertical="center"/>
    </xf>
    <xf numFmtId="181" fontId="5" fillId="0" borderId="5" applyProtection="0">
      <alignment horizontal="right" vertical="center" wrapText="1"/>
    </xf>
    <xf numFmtId="0" fontId="36" fillId="0" borderId="0"/>
    <xf numFmtId="181" fontId="5" fillId="0" borderId="5" applyProtection="0">
      <alignment horizontal="right" vertical="center" wrapText="1"/>
    </xf>
    <xf numFmtId="0" fontId="36" fillId="0" borderId="0" applyProtection="0">
      <alignment vertical="center"/>
    </xf>
    <xf numFmtId="0" fontId="36" fillId="0" borderId="0" applyProtection="0">
      <alignment vertical="center"/>
    </xf>
    <xf numFmtId="0" fontId="36" fillId="0" borderId="0" applyProtection="0">
      <alignment vertical="center"/>
    </xf>
    <xf numFmtId="0" fontId="22" fillId="6" borderId="7" applyNumberFormat="0" applyFont="0" applyAlignment="0">
      <alignment horizontal="center" vertical="center"/>
    </xf>
    <xf numFmtId="0" fontId="47" fillId="0" borderId="0">
      <alignment vertical="center"/>
    </xf>
    <xf numFmtId="181" fontId="5" fillId="0" borderId="5" applyProtection="0">
      <alignment horizontal="right" vertical="center" wrapText="1"/>
    </xf>
    <xf numFmtId="0" fontId="36" fillId="0" borderId="0" applyProtection="0">
      <alignment vertical="center"/>
    </xf>
    <xf numFmtId="0" fontId="36" fillId="0" borderId="0" applyProtection="0">
      <alignment vertical="center"/>
    </xf>
    <xf numFmtId="0" fontId="36" fillId="0" borderId="0" applyProtection="0">
      <alignment vertical="center"/>
    </xf>
    <xf numFmtId="0" fontId="22" fillId="6" borderId="7" applyNumberFormat="0" applyFont="0" applyAlignment="0">
      <alignment horizontal="center" vertical="center"/>
    </xf>
    <xf numFmtId="0" fontId="47" fillId="0" borderId="0">
      <alignment vertical="center"/>
    </xf>
    <xf numFmtId="185" fontId="55" fillId="0" borderId="0">
      <alignment horizontal="right" vertical="top"/>
    </xf>
    <xf numFmtId="0" fontId="36" fillId="0" borderId="0" applyProtection="0">
      <alignment vertical="center"/>
    </xf>
    <xf numFmtId="0" fontId="36" fillId="0" borderId="0" applyProtection="0">
      <alignment vertical="center"/>
    </xf>
    <xf numFmtId="0" fontId="36" fillId="0" borderId="0" applyProtection="0">
      <alignment vertical="center"/>
    </xf>
    <xf numFmtId="0" fontId="22" fillId="6" borderId="7" applyNumberFormat="0" applyFont="0" applyAlignment="0">
      <alignment horizontal="center" vertical="center"/>
    </xf>
    <xf numFmtId="0" fontId="47" fillId="0" borderId="0">
      <alignment vertical="center"/>
    </xf>
    <xf numFmtId="0" fontId="53" fillId="0" borderId="25">
      <alignment horizontal="center" vertical="center"/>
    </xf>
    <xf numFmtId="0" fontId="36" fillId="0" borderId="0" applyProtection="0">
      <alignment vertical="center"/>
    </xf>
    <xf numFmtId="180" fontId="70" fillId="24" borderId="0"/>
    <xf numFmtId="0" fontId="36" fillId="0" borderId="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pplyProtection="0">
      <alignment vertical="center"/>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0" fontId="28" fillId="0" borderId="34" applyNumberFormat="0" applyFill="0" applyAlignment="0" applyProtection="0">
      <alignment vertical="center"/>
    </xf>
    <xf numFmtId="0" fontId="37" fillId="0" borderId="0" applyProtection="0">
      <alignment vertical="center"/>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0" fontId="28" fillId="0" borderId="34" applyNumberFormat="0" applyFill="0" applyAlignment="0" applyProtection="0">
      <alignment vertical="center"/>
    </xf>
    <xf numFmtId="0" fontId="37" fillId="0" borderId="0" applyProtection="0">
      <alignment vertical="center"/>
    </xf>
    <xf numFmtId="177"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xf numFmtId="177"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pplyProtection="0">
      <alignment vertical="center"/>
    </xf>
    <xf numFmtId="177"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xf numFmtId="177"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xf numFmtId="177"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37" fillId="0" borderId="0" applyProtection="0">
      <alignment vertical="center"/>
    </xf>
    <xf numFmtId="0" fontId="37" fillId="0" borderId="0"/>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0" fontId="28" fillId="0" borderId="35" applyNumberFormat="0" applyFill="0" applyAlignment="0" applyProtection="0">
      <alignment vertical="center"/>
    </xf>
    <xf numFmtId="0" fontId="37"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0" fontId="28" fillId="0" borderId="35" applyNumberFormat="0" applyFill="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7" fillId="0" borderId="0" applyProtection="0">
      <alignment vertical="center"/>
    </xf>
    <xf numFmtId="0" fontId="37" fillId="0" borderId="0" applyProtection="0">
      <alignment vertical="center"/>
    </xf>
    <xf numFmtId="0" fontId="36" fillId="0" borderId="0"/>
    <xf numFmtId="0" fontId="44" fillId="0" borderId="7">
      <alignment horizontal="left" vertical="center"/>
    </xf>
    <xf numFmtId="49" fontId="5" fillId="0" borderId="5" applyProtection="0">
      <alignment horizontal="center" vertical="center" wrapText="1"/>
    </xf>
    <xf numFmtId="49" fontId="5" fillId="0" borderId="5" applyProtection="0">
      <alignment horizontal="center" vertical="center" wrapText="1"/>
    </xf>
    <xf numFmtId="0" fontId="37" fillId="0" borderId="0" applyProtection="0">
      <alignment vertical="center"/>
    </xf>
    <xf numFmtId="0" fontId="37" fillId="0" borderId="0" applyProtection="0">
      <alignment vertical="center"/>
    </xf>
    <xf numFmtId="0" fontId="36" fillId="0" borderId="0"/>
    <xf numFmtId="0" fontId="37" fillId="0" borderId="0" applyProtection="0">
      <alignment vertical="center"/>
    </xf>
    <xf numFmtId="0" fontId="37" fillId="0" borderId="0" applyProtection="0"/>
    <xf numFmtId="0" fontId="37" fillId="0" borderId="0" applyProtection="0">
      <alignment vertical="center"/>
    </xf>
    <xf numFmtId="0" fontId="37" fillId="0" borderId="0" applyProtection="0"/>
    <xf numFmtId="0" fontId="37" fillId="0" borderId="0" applyProtection="0">
      <alignment vertical="center"/>
    </xf>
    <xf numFmtId="0" fontId="37" fillId="0" borderId="0" applyProtection="0"/>
    <xf numFmtId="181" fontId="22" fillId="0" borderId="5">
      <alignment horizontal="right" vertical="center" wrapText="1"/>
    </xf>
    <xf numFmtId="181" fontId="22" fillId="0" borderId="5">
      <alignment horizontal="right" vertical="center" wrapText="1"/>
    </xf>
    <xf numFmtId="0" fontId="37" fillId="0" borderId="0" applyProtection="0">
      <alignment vertical="center"/>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0" fontId="37" fillId="0" borderId="0"/>
    <xf numFmtId="0" fontId="37" fillId="0" borderId="0"/>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0" fontId="44" fillId="0" borderId="7">
      <alignment horizontal="left" vertical="center"/>
    </xf>
    <xf numFmtId="0" fontId="37" fillId="0" borderId="0"/>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0" fontId="44" fillId="0" borderId="7">
      <alignment horizontal="left" vertical="center"/>
    </xf>
    <xf numFmtId="0" fontId="37" fillId="0" borderId="0"/>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0" fontId="37" fillId="0" borderId="0"/>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0" fontId="36" fillId="0" borderId="0">
      <alignment vertical="center"/>
    </xf>
    <xf numFmtId="49" fontId="5" fillId="0" borderId="5" applyProtection="0">
      <alignment horizontal="center" vertical="center" wrapText="1"/>
    </xf>
    <xf numFmtId="0" fontId="37" fillId="0" borderId="0"/>
    <xf numFmtId="0" fontId="36" fillId="0" borderId="0">
      <alignment vertical="center"/>
    </xf>
    <xf numFmtId="49" fontId="5" fillId="0" borderId="5">
      <alignment vertical="center" wrapText="1"/>
    </xf>
    <xf numFmtId="0" fontId="36" fillId="0" borderId="0"/>
    <xf numFmtId="0" fontId="36" fillId="0" borderId="0">
      <alignment vertical="center"/>
    </xf>
    <xf numFmtId="49" fontId="5" fillId="0" borderId="5" applyProtection="0">
      <alignment horizontal="center" vertical="center" wrapText="1"/>
    </xf>
    <xf numFmtId="0" fontId="37" fillId="0" borderId="0"/>
    <xf numFmtId="0" fontId="36" fillId="0" borderId="0">
      <alignment vertical="center"/>
    </xf>
    <xf numFmtId="49" fontId="5" fillId="0" borderId="5" applyProtection="0">
      <alignment horizontal="center" vertical="center" wrapText="1"/>
    </xf>
    <xf numFmtId="0" fontId="37" fillId="0" borderId="0"/>
    <xf numFmtId="49" fontId="5" fillId="0" borderId="5">
      <alignment vertical="center" wrapText="1"/>
    </xf>
    <xf numFmtId="0" fontId="36" fillId="0" borderId="0"/>
    <xf numFmtId="0" fontId="36" fillId="0" borderId="0"/>
    <xf numFmtId="49" fontId="5" fillId="0" borderId="5" applyProtection="0">
      <alignment horizontal="center" vertical="center" wrapText="1"/>
    </xf>
    <xf numFmtId="0" fontId="37" fillId="0" borderId="0"/>
    <xf numFmtId="49" fontId="5" fillId="0" borderId="5">
      <alignment vertical="center" wrapText="1"/>
    </xf>
    <xf numFmtId="0" fontId="36" fillId="0" borderId="0"/>
    <xf numFmtId="0" fontId="36" fillId="0" borderId="0"/>
    <xf numFmtId="0" fontId="37" fillId="0" borderId="0" applyProtection="0"/>
    <xf numFmtId="0" fontId="37" fillId="0" borderId="0" applyProtection="0"/>
    <xf numFmtId="0" fontId="37" fillId="0" borderId="0" applyProtection="0"/>
    <xf numFmtId="49" fontId="5" fillId="0" borderId="5">
      <alignment vertical="center" wrapText="1"/>
    </xf>
    <xf numFmtId="0" fontId="44" fillId="0" borderId="7">
      <alignment horizontal="left" vertical="center"/>
    </xf>
    <xf numFmtId="0" fontId="37" fillId="0" borderId="0" applyProtection="0"/>
    <xf numFmtId="49" fontId="5" fillId="0" borderId="5">
      <alignment vertical="center" wrapText="1"/>
    </xf>
    <xf numFmtId="0" fontId="44" fillId="0" borderId="7">
      <alignment horizontal="left" vertical="center"/>
    </xf>
    <xf numFmtId="0" fontId="37" fillId="0" borderId="0" applyProtection="0"/>
    <xf numFmtId="0" fontId="36" fillId="0" borderId="0">
      <alignment vertical="center"/>
    </xf>
    <xf numFmtId="49" fontId="5" fillId="0" borderId="5">
      <alignment vertical="center" wrapText="1"/>
    </xf>
    <xf numFmtId="49" fontId="5" fillId="0" borderId="5">
      <alignment vertical="center" wrapText="1"/>
    </xf>
    <xf numFmtId="0" fontId="49" fillId="20" borderId="0" applyNumberFormat="0" applyBorder="0" applyAlignment="0" applyProtection="0">
      <alignment vertical="center"/>
    </xf>
    <xf numFmtId="0" fontId="38" fillId="5" borderId="5" applyNumberFormat="0" applyBorder="0" applyAlignment="0" applyProtection="0">
      <alignment vertical="center"/>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7" fillId="0" borderId="0"/>
    <xf numFmtId="0" fontId="37" fillId="0" borderId="0"/>
    <xf numFmtId="0" fontId="38" fillId="13" borderId="0" applyNumberFormat="0" applyBorder="0" applyAlignment="0" applyProtection="0">
      <alignment vertical="center"/>
    </xf>
    <xf numFmtId="38" fontId="38" fillId="13" borderId="0" applyNumberFormat="0" applyBorder="0" applyAlignment="0" applyProtection="0"/>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pplyProtection="0">
      <alignment vertical="center" wrapText="1"/>
    </xf>
    <xf numFmtId="49" fontId="5" fillId="0" borderId="5" applyProtection="0">
      <alignment vertical="center" wrapText="1"/>
    </xf>
    <xf numFmtId="0" fontId="37" fillId="0" borderId="0"/>
    <xf numFmtId="195" fontId="19" fillId="0" borderId="0">
      <alignment vertical="center"/>
    </xf>
    <xf numFmtId="0" fontId="38" fillId="13" borderId="0" applyNumberFormat="0" applyBorder="0" applyAlignment="0" applyProtection="0">
      <alignment vertical="center"/>
    </xf>
    <xf numFmtId="38" fontId="38" fillId="13" borderId="0" applyNumberFormat="0" applyBorder="0" applyAlignment="0" applyProtection="0"/>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pplyProtection="0">
      <alignment vertical="center" wrapText="1"/>
    </xf>
    <xf numFmtId="49" fontId="5" fillId="0" borderId="5" applyProtection="0">
      <alignment vertical="center" wrapText="1"/>
    </xf>
    <xf numFmtId="0" fontId="37" fillId="0" borderId="0"/>
    <xf numFmtId="49" fontId="5" fillId="0" borderId="5">
      <alignment vertical="center" wrapText="1"/>
    </xf>
    <xf numFmtId="195" fontId="19" fillId="0" borderId="0">
      <alignment vertical="center"/>
    </xf>
    <xf numFmtId="38" fontId="38" fillId="13" borderId="0" applyNumberFormat="0" applyBorder="0" applyAlignment="0" applyProtection="0"/>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pplyProtection="0">
      <alignment vertical="center" wrapText="1"/>
    </xf>
    <xf numFmtId="49" fontId="5" fillId="0" borderId="5" applyProtection="0">
      <alignment vertical="center" wrapText="1"/>
    </xf>
    <xf numFmtId="0" fontId="37" fillId="0" borderId="0"/>
    <xf numFmtId="38" fontId="38" fillId="13" borderId="0" applyNumberFormat="0" applyBorder="0" applyAlignment="0" applyProtection="0"/>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0" fontId="37" fillId="0" borderId="0"/>
    <xf numFmtId="0" fontId="47" fillId="0" borderId="0">
      <alignment vertical="center"/>
    </xf>
    <xf numFmtId="38" fontId="38" fillId="13" borderId="0" applyNumberFormat="0" applyBorder="0" applyAlignment="0" applyProtection="0"/>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0" fontId="37" fillId="0" borderId="0"/>
    <xf numFmtId="0" fontId="47" fillId="0" borderId="0">
      <alignment vertical="center"/>
    </xf>
    <xf numFmtId="38" fontId="38" fillId="13" borderId="0" applyNumberFormat="0" applyBorder="0" applyAlignment="0" applyProtection="0"/>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37" fillId="0" borderId="0"/>
    <xf numFmtId="38" fontId="38" fillId="13" borderId="0" applyNumberFormat="0" applyBorder="0" applyAlignment="0" applyProtection="0"/>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37" fillId="0" borderId="0"/>
    <xf numFmtId="0" fontId="37" fillId="0" borderId="0"/>
    <xf numFmtId="0" fontId="36" fillId="0" borderId="0">
      <alignment vertical="center"/>
    </xf>
    <xf numFmtId="0" fontId="37" fillId="0" borderId="0" applyProtection="0">
      <alignment vertical="center"/>
    </xf>
    <xf numFmtId="181" fontId="22" fillId="0" borderId="5">
      <alignment horizontal="right" vertical="center" wrapText="1"/>
    </xf>
    <xf numFmtId="181" fontId="22" fillId="0" borderId="5">
      <alignment horizontal="right" vertical="center" wrapText="1"/>
    </xf>
    <xf numFmtId="0" fontId="37" fillId="0" borderId="0" applyProtection="0">
      <alignment vertical="center"/>
    </xf>
    <xf numFmtId="0" fontId="37" fillId="0" borderId="0" applyProtection="0">
      <alignment vertical="center"/>
    </xf>
    <xf numFmtId="195" fontId="19" fillId="0" borderId="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195" fontId="19" fillId="0" borderId="0">
      <alignment vertical="center"/>
    </xf>
    <xf numFmtId="0" fontId="37" fillId="0" borderId="0" applyProtection="0">
      <alignment vertical="center"/>
    </xf>
    <xf numFmtId="0" fontId="44" fillId="0" borderId="7">
      <alignment horizontal="left" vertical="center"/>
    </xf>
    <xf numFmtId="0" fontId="37" fillId="0" borderId="0" applyProtection="0">
      <alignment vertical="center"/>
    </xf>
    <xf numFmtId="0" fontId="37" fillId="0" borderId="0" applyProtection="0">
      <alignment vertical="center"/>
    </xf>
    <xf numFmtId="195" fontId="19" fillId="0" borderId="0">
      <alignment vertical="center"/>
    </xf>
    <xf numFmtId="0" fontId="37" fillId="0" borderId="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24" fillId="26" borderId="0" applyNumberFormat="0" applyBorder="0" applyAlignment="0" applyProtection="0">
      <alignment vertical="center"/>
    </xf>
    <xf numFmtId="0" fontId="44" fillId="0" borderId="7">
      <alignment horizontal="left" vertical="center"/>
    </xf>
    <xf numFmtId="0" fontId="37" fillId="0" borderId="0" applyProtection="0">
      <alignment vertical="center"/>
    </xf>
    <xf numFmtId="0" fontId="44" fillId="0" borderId="7">
      <alignment horizontal="left" vertical="center"/>
    </xf>
    <xf numFmtId="178" fontId="5" fillId="0" borderId="5">
      <alignment horizontal="right" vertical="center" wrapText="1"/>
    </xf>
    <xf numFmtId="178" fontId="5" fillId="0" borderId="5">
      <alignment horizontal="right" vertical="center" wrapText="1"/>
    </xf>
    <xf numFmtId="0" fontId="36" fillId="0" borderId="0"/>
    <xf numFmtId="0" fontId="36" fillId="0" borderId="0" applyProtection="0">
      <alignment vertical="center"/>
    </xf>
    <xf numFmtId="0" fontId="78" fillId="0" borderId="32">
      <alignment horizontal="right" wrapText="1"/>
    </xf>
    <xf numFmtId="0" fontId="36" fillId="0" borderId="0">
      <alignment vertical="center"/>
    </xf>
    <xf numFmtId="0" fontId="36" fillId="0" borderId="0">
      <alignment vertical="center"/>
    </xf>
    <xf numFmtId="0" fontId="24" fillId="26" borderId="0" applyNumberFormat="0" applyBorder="0" applyAlignment="0" applyProtection="0">
      <alignment vertical="center"/>
    </xf>
    <xf numFmtId="0" fontId="40" fillId="0" borderId="0">
      <alignment horizontal="center" vertical="center" wrapText="1"/>
      <protection locked="0"/>
    </xf>
    <xf numFmtId="0" fontId="36" fillId="0" borderId="0">
      <alignment vertical="center"/>
    </xf>
    <xf numFmtId="0" fontId="36" fillId="0" borderId="0">
      <alignment vertical="center"/>
    </xf>
    <xf numFmtId="0" fontId="40" fillId="0" borderId="0">
      <alignment horizontal="center" vertical="center" wrapText="1"/>
      <protection locked="0"/>
    </xf>
    <xf numFmtId="0" fontId="44" fillId="0" borderId="7">
      <alignment horizontal="left" vertical="center"/>
    </xf>
    <xf numFmtId="0" fontId="36" fillId="0" borderId="0">
      <alignment vertical="center"/>
    </xf>
    <xf numFmtId="0" fontId="43" fillId="7" borderId="3">
      <alignment vertical="center"/>
      <protection locked="0"/>
    </xf>
    <xf numFmtId="0" fontId="24" fillId="26" borderId="0" applyProtection="0">
      <alignment vertical="center"/>
    </xf>
    <xf numFmtId="0" fontId="40" fillId="0" borderId="0">
      <alignment horizontal="center" vertical="center" wrapText="1"/>
      <protection locked="0"/>
    </xf>
    <xf numFmtId="0" fontId="36" fillId="0" borderId="0">
      <alignment vertical="center"/>
    </xf>
    <xf numFmtId="0" fontId="24" fillId="26" borderId="0" applyProtection="0">
      <alignment vertical="center"/>
    </xf>
    <xf numFmtId="0" fontId="40" fillId="0" borderId="0">
      <alignment horizontal="center" vertical="center" wrapText="1"/>
      <protection locked="0"/>
    </xf>
    <xf numFmtId="0" fontId="36" fillId="0" borderId="0">
      <alignment vertical="center"/>
    </xf>
    <xf numFmtId="0" fontId="24" fillId="15" borderId="0" applyNumberFormat="0" applyBorder="0" applyAlignment="0" applyProtection="0">
      <alignment vertical="center"/>
    </xf>
    <xf numFmtId="0" fontId="40" fillId="0" borderId="0">
      <alignment horizontal="center" vertical="center" wrapText="1"/>
      <protection locked="0"/>
    </xf>
    <xf numFmtId="0" fontId="36" fillId="0" borderId="0">
      <alignment vertical="center"/>
    </xf>
    <xf numFmtId="14" fontId="40" fillId="0" borderId="0">
      <alignment horizontal="center" vertical="center" wrapText="1"/>
      <protection locked="0"/>
    </xf>
    <xf numFmtId="0" fontId="24" fillId="15" borderId="0" applyNumberFormat="0" applyBorder="0" applyAlignment="0" applyProtection="0">
      <alignment vertical="center"/>
    </xf>
    <xf numFmtId="0" fontId="40" fillId="0" borderId="0">
      <alignment horizontal="center" vertical="center" wrapText="1"/>
      <protection locked="0"/>
    </xf>
    <xf numFmtId="0" fontId="36" fillId="0" borderId="0"/>
    <xf numFmtId="0" fontId="36" fillId="0" borderId="0"/>
    <xf numFmtId="181" fontId="5" fillId="0" borderId="5">
      <alignment horizontal="right" vertical="center" wrapText="1"/>
    </xf>
    <xf numFmtId="181" fontId="5" fillId="0" borderId="5">
      <alignment horizontal="right" vertical="center" wrapText="1"/>
    </xf>
    <xf numFmtId="0" fontId="36" fillId="0" borderId="0" applyProtection="0">
      <alignment vertical="center"/>
    </xf>
    <xf numFmtId="14" fontId="40" fillId="0" borderId="0">
      <alignment horizontal="center" vertical="center" wrapText="1"/>
      <protection locked="0"/>
    </xf>
    <xf numFmtId="0" fontId="24" fillId="15" borderId="0" applyNumberFormat="0" applyBorder="0" applyAlignment="0" applyProtection="0">
      <alignment vertical="center"/>
    </xf>
    <xf numFmtId="0" fontId="40" fillId="0" borderId="0">
      <alignment horizontal="center" vertical="center" wrapText="1"/>
      <protection locked="0"/>
    </xf>
    <xf numFmtId="0" fontId="36" fillId="0" borderId="0"/>
    <xf numFmtId="0" fontId="36" fillId="0" borderId="0"/>
    <xf numFmtId="181" fontId="5" fillId="0" borderId="5">
      <alignment horizontal="right" vertical="center" wrapText="1"/>
    </xf>
    <xf numFmtId="181" fontId="5" fillId="0" borderId="5">
      <alignment horizontal="right" vertical="center" wrapText="1"/>
    </xf>
    <xf numFmtId="0" fontId="36" fillId="0" borderId="0" applyProtection="0">
      <alignment vertical="center"/>
    </xf>
    <xf numFmtId="0" fontId="24" fillId="15" borderId="0" applyNumberFormat="0" applyBorder="0" applyAlignment="0" applyProtection="0">
      <alignment vertical="center"/>
    </xf>
    <xf numFmtId="0" fontId="40" fillId="0" borderId="0">
      <alignment horizontal="center" vertical="center" wrapText="1"/>
      <protection locked="0"/>
    </xf>
    <xf numFmtId="178" fontId="22" fillId="0" borderId="5" applyProtection="0">
      <alignment horizontal="right" vertical="center" wrapText="1"/>
    </xf>
    <xf numFmtId="0" fontId="36" fillId="0" borderId="0"/>
    <xf numFmtId="0" fontId="36" fillId="0" borderId="0"/>
    <xf numFmtId="0" fontId="24" fillId="15" borderId="0" applyNumberFormat="0" applyBorder="0" applyAlignment="0" applyProtection="0">
      <alignment vertical="center"/>
    </xf>
    <xf numFmtId="178" fontId="22" fillId="0" borderId="5" applyProtection="0">
      <alignment horizontal="right" vertical="center" wrapText="1"/>
    </xf>
    <xf numFmtId="0" fontId="36" fillId="0" borderId="0"/>
    <xf numFmtId="178" fontId="22" fillId="0" borderId="5" applyProtection="0">
      <alignment horizontal="right" vertical="center" wrapText="1"/>
    </xf>
    <xf numFmtId="0" fontId="36" fillId="0" borderId="0"/>
    <xf numFmtId="49" fontId="5"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0" fontId="22" fillId="6" borderId="7" applyNumberFormat="0" applyFont="0" applyAlignment="0">
      <alignment horizontal="center" vertical="center"/>
    </xf>
    <xf numFmtId="0" fontId="67" fillId="21" borderId="0" applyProtection="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alignment vertical="center"/>
    </xf>
    <xf numFmtId="0" fontId="36" fillId="0" borderId="0" applyProtection="0"/>
    <xf numFmtId="0" fontId="47" fillId="0" borderId="0">
      <alignment vertical="center"/>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47" fillId="0" borderId="0">
      <alignment vertical="center"/>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47" fillId="0" borderId="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alignment vertical="center"/>
    </xf>
    <xf numFmtId="0" fontId="36" fillId="0" borderId="0" applyProtection="0"/>
    <xf numFmtId="0" fontId="47" fillId="0" borderId="0"/>
    <xf numFmtId="0" fontId="47" fillId="0" borderId="0"/>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alignment vertical="center"/>
    </xf>
    <xf numFmtId="0" fontId="36" fillId="0" borderId="0" applyProtection="0"/>
    <xf numFmtId="0" fontId="47" fillId="0" borderId="0"/>
    <xf numFmtId="0" fontId="47" fillId="0" borderId="0"/>
    <xf numFmtId="49" fontId="5" fillId="0" borderId="5">
      <alignment horizontal="center" vertical="center" wrapText="1"/>
    </xf>
    <xf numFmtId="49" fontId="22" fillId="0" borderId="5">
      <alignment vertical="center" wrapText="1"/>
    </xf>
    <xf numFmtId="0" fontId="36" fillId="0" borderId="0">
      <alignment vertical="center"/>
    </xf>
    <xf numFmtId="49" fontId="22" fillId="0" borderId="5">
      <alignmen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189" fontId="48" fillId="0" borderId="0" applyFill="0" applyBorder="0" applyAlignment="0">
      <alignment vertical="center"/>
    </xf>
    <xf numFmtId="0" fontId="73" fillId="0" borderId="0" applyNumberForma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xf numFmtId="0" fontId="47" fillId="0" borderId="0"/>
    <xf numFmtId="0" fontId="47" fillId="0" borderId="0"/>
    <xf numFmtId="49" fontId="5" fillId="0" borderId="5">
      <alignment horizontal="center" vertical="center" wrapText="1"/>
    </xf>
    <xf numFmtId="0" fontId="36" fillId="0" borderId="0">
      <alignment vertical="center"/>
    </xf>
    <xf numFmtId="178" fontId="5" fillId="0" borderId="5" applyProtection="0">
      <alignment horizontal="right" vertical="center" wrapText="1"/>
    </xf>
    <xf numFmtId="0" fontId="36" fillId="0" borderId="0" applyProtection="0"/>
    <xf numFmtId="0" fontId="36" fillId="0" borderId="0">
      <alignment vertical="center"/>
    </xf>
    <xf numFmtId="178" fontId="5" fillId="0" borderId="5" applyProtection="0">
      <alignment horizontal="right" vertical="center" wrapText="1"/>
    </xf>
    <xf numFmtId="0" fontId="36" fillId="0" borderId="0"/>
    <xf numFmtId="49" fontId="5" fillId="0" borderId="5" applyProtection="0">
      <alignment vertical="center" wrapText="1"/>
    </xf>
    <xf numFmtId="49" fontId="5" fillId="0" borderId="5" applyProtection="0">
      <alignment vertical="center" wrapText="1"/>
    </xf>
    <xf numFmtId="189" fontId="48" fillId="0" borderId="0" applyFill="0" applyBorder="0" applyAlignment="0">
      <alignment vertical="center"/>
    </xf>
    <xf numFmtId="189" fontId="48" fillId="0" borderId="0" applyFill="0" applyBorder="0" applyAlignment="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xf numFmtId="0" fontId="47" fillId="0" borderId="0"/>
    <xf numFmtId="49" fontId="5" fillId="0" borderId="5">
      <alignment horizontal="center" vertical="center" wrapText="1"/>
    </xf>
    <xf numFmtId="0" fontId="36" fillId="0" borderId="0">
      <alignment vertical="center"/>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xf numFmtId="0" fontId="47" fillId="0" borderId="0"/>
    <xf numFmtId="49" fontId="5" fillId="0" borderId="5">
      <alignment horizontal="center" vertical="center" wrapText="1"/>
    </xf>
    <xf numFmtId="0" fontId="36" fillId="0" borderId="0">
      <alignment vertical="center"/>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xf numFmtId="188" fontId="19" fillId="0" borderId="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74" fillId="0" borderId="0">
      <alignmen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xf numFmtId="188" fontId="19" fillId="0" borderId="0">
      <alignmen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lignment vertical="center"/>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64" fillId="0" borderId="0" applyFill="0" applyBorder="0">
      <alignment horizontal="left" vertical="top" wrapText="1"/>
    </xf>
    <xf numFmtId="0" fontId="38" fillId="13" borderId="0"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0" fontId="64" fillId="0" borderId="0">
      <alignment horizontal="left" vertical="top"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8" fillId="13" borderId="0"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0" fontId="36" fillId="0" borderId="0">
      <alignment vertical="center"/>
    </xf>
    <xf numFmtId="0" fontId="109" fillId="0" borderId="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22" fillId="0" borderId="5">
      <alignment vertical="center" wrapText="1"/>
    </xf>
    <xf numFmtId="0" fontId="36" fillId="0" borderId="0">
      <alignment vertical="center"/>
    </xf>
    <xf numFmtId="49" fontId="22" fillId="0" borderId="5">
      <alignment vertical="center" wrapText="1"/>
    </xf>
    <xf numFmtId="0" fontId="36" fillId="0" borderId="0">
      <alignment vertical="center"/>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lignment vertical="center"/>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200" fontId="64" fillId="0" borderId="32" applyFill="0" applyBorder="0" applyProtection="0">
      <alignment horizontal="right" vertical="top"/>
    </xf>
    <xf numFmtId="0" fontId="36" fillId="0" borderId="0">
      <alignment vertical="center"/>
    </xf>
    <xf numFmtId="0" fontId="43" fillId="7" borderId="3">
      <alignment vertical="center"/>
      <protection locked="0"/>
    </xf>
    <xf numFmtId="0" fontId="22" fillId="6" borderId="7"/>
    <xf numFmtId="200" fontId="64" fillId="0" borderId="0">
      <alignment horizontal="right" vertical="top"/>
    </xf>
    <xf numFmtId="0" fontId="36" fillId="0" borderId="0">
      <alignment vertical="center"/>
    </xf>
    <xf numFmtId="0" fontId="43" fillId="7" borderId="3">
      <alignment vertical="center"/>
      <protection locked="0"/>
    </xf>
    <xf numFmtId="200" fontId="64" fillId="0" borderId="32" applyFill="0" applyBorder="0" applyProtection="0">
      <alignment horizontal="right" vertical="top"/>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applyProtection="0">
      <alignment vertical="center"/>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8" fontId="19"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8" fontId="19" fillId="0" borderId="0">
      <alignmen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49" fontId="5" fillId="0" borderId="5">
      <alignment horizontal="center" vertical="center" wrapText="1"/>
    </xf>
    <xf numFmtId="49" fontId="5" fillId="0" borderId="5">
      <alignment horizontal="center" vertical="center" wrapText="1"/>
    </xf>
    <xf numFmtId="0" fontId="24" fillId="16" borderId="0" applyNumberFormat="0" applyBorder="0" applyAlignment="0" applyProtection="0">
      <alignment vertical="center"/>
    </xf>
    <xf numFmtId="0" fontId="61" fillId="14" borderId="0" applyNumberFormat="0" applyBorder="0" applyAlignment="0" applyProtection="0">
      <alignment vertical="center"/>
    </xf>
    <xf numFmtId="0" fontId="24" fillId="15" borderId="0" applyNumberFormat="0" applyBorder="0" applyAlignment="0" applyProtection="0">
      <alignment vertical="center"/>
    </xf>
    <xf numFmtId="0" fontId="40" fillId="0" borderId="0">
      <alignment horizontal="center" wrapText="1"/>
      <protection locked="0"/>
    </xf>
    <xf numFmtId="0" fontId="40" fillId="0" borderId="0">
      <alignment horizontal="center" wrapText="1"/>
      <protection locked="0"/>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0" fontId="24" fillId="16" borderId="0" applyNumberFormat="0" applyBorder="0" applyAlignment="0" applyProtection="0">
      <alignment vertical="center"/>
    </xf>
    <xf numFmtId="49" fontId="5" fillId="0" borderId="5">
      <alignment vertical="center" wrapText="1"/>
    </xf>
    <xf numFmtId="49" fontId="5" fillId="0" borderId="5">
      <alignment vertical="center" wrapText="1"/>
    </xf>
    <xf numFmtId="0" fontId="61" fillId="14" borderId="0" applyNumberFormat="0" applyBorder="0" applyAlignment="0" applyProtection="0">
      <alignment vertical="center"/>
    </xf>
    <xf numFmtId="0" fontId="24" fillId="15" borderId="0" applyNumberFormat="0" applyBorder="0" applyAlignment="0" applyProtection="0">
      <alignment vertical="center"/>
    </xf>
    <xf numFmtId="0" fontId="40" fillId="0" borderId="0">
      <alignment horizontal="center" wrapText="1"/>
      <protection locked="0"/>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191" fontId="64" fillId="0" borderId="0" applyFill="0" applyBorder="0">
      <alignment horizontal="right" vertical="top"/>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alignment vertical="center"/>
    </xf>
    <xf numFmtId="0" fontId="36" fillId="0" borderId="0"/>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36" fillId="0" borderId="0" applyProtection="0">
      <alignment vertical="center"/>
    </xf>
    <xf numFmtId="0" fontId="36" fillId="0" borderId="0" applyProtection="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24" fillId="12" borderId="0" applyNumberFormat="0" applyBorder="0" applyAlignment="0" applyProtection="0">
      <alignment vertical="center"/>
    </xf>
    <xf numFmtId="178" fontId="22" fillId="0" borderId="5">
      <alignment horizontal="right" vertical="center" wrapText="1"/>
    </xf>
    <xf numFmtId="0" fontId="24" fillId="14" borderId="0" applyNumberFormat="0" applyBorder="0" applyAlignment="0" applyProtection="0">
      <alignment vertical="center"/>
    </xf>
    <xf numFmtId="178" fontId="22" fillId="0" borderId="5" applyProtection="0">
      <alignment horizontal="right" vertical="center" wrapText="1"/>
    </xf>
    <xf numFmtId="178" fontId="22" fillId="0" borderId="5" applyProtection="0">
      <alignment horizontal="right" vertical="center" wrapText="1"/>
    </xf>
    <xf numFmtId="0" fontId="36" fillId="0" borderId="0">
      <alignment vertical="center"/>
    </xf>
    <xf numFmtId="0" fontId="24" fillId="12" borderId="0" applyNumberFormat="0" applyBorder="0" applyAlignment="0" applyProtection="0">
      <alignment vertical="center"/>
    </xf>
    <xf numFmtId="178" fontId="22" fillId="0" borderId="5">
      <alignment horizontal="right" vertical="center" wrapText="1"/>
    </xf>
    <xf numFmtId="0" fontId="24" fillId="14" borderId="0" applyNumberFormat="0" applyBorder="0" applyAlignment="0" applyProtection="0">
      <alignment vertical="center"/>
    </xf>
    <xf numFmtId="49" fontId="5" fillId="0" borderId="5">
      <alignment vertical="center" wrapText="1"/>
    </xf>
    <xf numFmtId="49" fontId="5" fillId="0" borderId="5">
      <alignment vertical="center" wrapText="1"/>
    </xf>
    <xf numFmtId="15" fontId="22" fillId="0" borderId="0"/>
    <xf numFmtId="0" fontId="36" fillId="0" borderId="0" applyProtection="0">
      <alignment vertical="center"/>
    </xf>
    <xf numFmtId="49" fontId="22" fillId="0" borderId="5" applyProtection="0">
      <alignment horizontal="center" vertical="center" wrapText="1"/>
    </xf>
    <xf numFmtId="0" fontId="36" fillId="0" borderId="0" applyProtection="0">
      <alignment vertical="center"/>
    </xf>
    <xf numFmtId="0" fontId="109" fillId="0" borderId="0">
      <alignment vertical="center"/>
    </xf>
    <xf numFmtId="49" fontId="22" fillId="0" borderId="5" applyProtection="0">
      <alignment horizontal="center" vertical="center" wrapText="1"/>
    </xf>
    <xf numFmtId="0" fontId="36" fillId="0" borderId="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0" fontId="24" fillId="10" borderId="0" applyProtection="0">
      <alignment vertical="center"/>
    </xf>
    <xf numFmtId="49" fontId="22" fillId="0" borderId="5">
      <alignment horizontal="center" vertical="center" wrapText="1"/>
    </xf>
    <xf numFmtId="49" fontId="22" fillId="0" borderId="5">
      <alignment horizontal="center" vertical="center" wrapText="1"/>
    </xf>
    <xf numFmtId="0" fontId="53" fillId="0" borderId="0">
      <alignment horizontal="center" vertical="center"/>
    </xf>
    <xf numFmtId="49" fontId="22" fillId="0" borderId="5" applyProtection="0">
      <alignment horizontal="center" vertical="center" wrapText="1"/>
    </xf>
    <xf numFmtId="0" fontId="36" fillId="0" borderId="0"/>
    <xf numFmtId="49" fontId="22" fillId="0" borderId="5" applyProtection="0">
      <alignment horizontal="center" vertical="center" wrapText="1"/>
    </xf>
    <xf numFmtId="0" fontId="36" fillId="0" borderId="0" applyProtection="0">
      <alignment vertical="center"/>
    </xf>
    <xf numFmtId="49" fontId="22" fillId="0" borderId="5" applyProtection="0">
      <alignment horizontal="center" vertical="center" wrapText="1"/>
    </xf>
    <xf numFmtId="0" fontId="36" fillId="0" borderId="0"/>
    <xf numFmtId="181" fontId="5" fillId="0" borderId="5">
      <alignment horizontal="right" vertical="center" wrapText="1"/>
    </xf>
    <xf numFmtId="181" fontId="5" fillId="0" borderId="5">
      <alignment horizontal="right" vertical="center" wrapText="1"/>
    </xf>
    <xf numFmtId="0" fontId="36" fillId="0" borderId="0"/>
    <xf numFmtId="49" fontId="22" fillId="0" borderId="5" applyProtection="0">
      <alignment horizontal="center" vertical="center" wrapText="1"/>
    </xf>
    <xf numFmtId="181" fontId="5" fillId="0" borderId="5">
      <alignment horizontal="right" vertical="center" wrapText="1"/>
    </xf>
    <xf numFmtId="49" fontId="5" fillId="0" borderId="5" applyProtection="0">
      <alignment vertical="center" wrapText="1"/>
    </xf>
    <xf numFmtId="0" fontId="36" fillId="0" borderId="0"/>
    <xf numFmtId="0" fontId="36" fillId="0" borderId="0" applyProtection="0">
      <alignment vertical="center"/>
    </xf>
    <xf numFmtId="49" fontId="22" fillId="0" borderId="5" applyProtection="0">
      <alignment horizontal="center" vertical="center" wrapText="1"/>
    </xf>
    <xf numFmtId="200" fontId="24" fillId="0" borderId="0">
      <alignment vertical="center"/>
    </xf>
    <xf numFmtId="0" fontId="36" fillId="0" borderId="0" applyProtection="0">
      <alignment vertical="center"/>
    </xf>
    <xf numFmtId="200" fontId="24" fillId="0" borderId="0">
      <alignment vertical="center"/>
    </xf>
    <xf numFmtId="0" fontId="36" fillId="0" borderId="0" applyProtection="0">
      <alignment vertical="center"/>
    </xf>
    <xf numFmtId="181" fontId="5" fillId="0" borderId="5">
      <alignment horizontal="right" vertical="center" wrapText="1"/>
    </xf>
    <xf numFmtId="49" fontId="5" fillId="0" borderId="5" applyProtection="0">
      <alignment vertical="center" wrapText="1"/>
    </xf>
    <xf numFmtId="0" fontId="36" fillId="0" borderId="0" applyProtection="0">
      <alignment vertical="center"/>
    </xf>
    <xf numFmtId="0" fontId="36" fillId="0" borderId="0" applyProtection="0">
      <alignment vertical="center"/>
    </xf>
    <xf numFmtId="49" fontId="22" fillId="0" borderId="5" applyProtection="0">
      <alignment horizontal="center" vertical="center" wrapText="1"/>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47" fillId="0" borderId="0">
      <alignment vertical="center"/>
      <protection locked="0"/>
    </xf>
    <xf numFmtId="0" fontId="36" fillId="0" borderId="0" applyProtection="0"/>
    <xf numFmtId="0" fontId="36" fillId="0" borderId="0" applyProtection="0">
      <alignment vertical="center"/>
    </xf>
    <xf numFmtId="181" fontId="5" fillId="0" borderId="5">
      <alignment horizontal="right" vertical="center" wrapText="1"/>
    </xf>
    <xf numFmtId="49" fontId="5" fillId="0" borderId="5" applyProtection="0">
      <alignment vertical="center" wrapText="1"/>
    </xf>
    <xf numFmtId="0" fontId="36" fillId="0" borderId="0" applyProtection="0"/>
    <xf numFmtId="0" fontId="36" fillId="0" borderId="0" applyProtection="0">
      <alignment vertical="center"/>
    </xf>
    <xf numFmtId="181" fontId="5" fillId="0" borderId="5">
      <alignment horizontal="right" vertical="center" wrapText="1"/>
    </xf>
    <xf numFmtId="49" fontId="5" fillId="0" borderId="5" applyProtection="0">
      <alignment vertical="center" wrapText="1"/>
    </xf>
    <xf numFmtId="0" fontId="36" fillId="0" borderId="0" applyProtection="0"/>
    <xf numFmtId="0" fontId="36" fillId="0" borderId="0" applyProtection="0">
      <alignment vertical="center"/>
    </xf>
    <xf numFmtId="181" fontId="5" fillId="0" borderId="5">
      <alignment horizontal="right" vertical="center" wrapText="1"/>
    </xf>
    <xf numFmtId="49" fontId="5"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27" applyNumberFormat="0" applyAlignment="0" applyProtection="0">
      <alignment horizontal="left" vertical="center"/>
    </xf>
    <xf numFmtId="0" fontId="36" fillId="0" borderId="0" applyProtection="0">
      <alignment vertical="center"/>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xf numFmtId="0" fontId="36" fillId="0" borderId="0">
      <alignment vertical="center"/>
    </xf>
    <xf numFmtId="0" fontId="109" fillId="0" borderId="0">
      <alignment vertical="center"/>
    </xf>
    <xf numFmtId="0" fontId="36" fillId="0" borderId="0"/>
    <xf numFmtId="181" fontId="22" fillId="0" borderId="5">
      <alignment horizontal="right" vertical="center" wrapText="1"/>
    </xf>
    <xf numFmtId="49" fontId="22" fillId="0" borderId="5" applyProtection="0">
      <alignment vertical="center" wrapText="1"/>
    </xf>
    <xf numFmtId="0" fontId="36" fillId="0" borderId="0"/>
    <xf numFmtId="181" fontId="22" fillId="0" borderId="5">
      <alignment horizontal="right" vertical="center" wrapText="1"/>
    </xf>
    <xf numFmtId="49" fontId="22" fillId="0" borderId="5" applyProtection="0">
      <alignmen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xf numFmtId="178" fontId="22" fillId="0" borderId="5" applyProtection="0">
      <alignment horizontal="right" vertical="center" wrapText="1"/>
    </xf>
    <xf numFmtId="0" fontId="36" fillId="0" borderId="0"/>
    <xf numFmtId="181" fontId="22" fillId="0" borderId="5">
      <alignment horizontal="right" vertical="center" wrapText="1"/>
    </xf>
    <xf numFmtId="49" fontId="22" fillId="0" borderId="5" applyProtection="0">
      <alignmen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xf numFmtId="181" fontId="22" fillId="0" borderId="5">
      <alignment horizontal="right" vertical="center" wrapText="1"/>
    </xf>
    <xf numFmtId="198" fontId="60" fillId="0" borderId="30">
      <alignment horizontal="center" vertical="center"/>
    </xf>
    <xf numFmtId="0" fontId="36" fillId="0" borderId="0"/>
    <xf numFmtId="181" fontId="22" fillId="0" borderId="5">
      <alignment horizontal="right" vertical="center" wrapText="1"/>
    </xf>
    <xf numFmtId="198" fontId="80" fillId="0" borderId="32">
      <alignment horizontal="center"/>
    </xf>
    <xf numFmtId="0" fontId="36" fillId="0" borderId="0"/>
    <xf numFmtId="181" fontId="22" fillId="0" borderId="5">
      <alignment horizontal="right" vertical="center" wrapText="1"/>
    </xf>
    <xf numFmtId="0" fontId="36" fillId="0" borderId="0" applyProtection="0">
      <alignment vertical="center"/>
    </xf>
    <xf numFmtId="0" fontId="36" fillId="0" borderId="0" applyProtection="0">
      <alignment vertical="center"/>
    </xf>
    <xf numFmtId="0" fontId="36" fillId="0" borderId="0" applyProtection="0"/>
    <xf numFmtId="49" fontId="5" fillId="0" borderId="5" applyProtection="0">
      <alignment vertical="center" wrapText="1"/>
    </xf>
    <xf numFmtId="0" fontId="24" fillId="11"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xf numFmtId="49" fontId="5" fillId="0" borderId="5" applyProtection="0">
      <alignment vertical="center" wrapText="1"/>
    </xf>
    <xf numFmtId="0" fontId="24" fillId="11" borderId="0" applyProtection="0">
      <alignment vertical="center"/>
    </xf>
    <xf numFmtId="0" fontId="36" fillId="0" borderId="0" applyProtection="0"/>
    <xf numFmtId="0" fontId="109" fillId="0" borderId="0">
      <alignment vertical="center"/>
    </xf>
    <xf numFmtId="0" fontId="24" fillId="11" borderId="0" applyProtection="0">
      <alignment vertical="center"/>
    </xf>
    <xf numFmtId="0" fontId="36" fillId="0" borderId="0" applyProtection="0"/>
    <xf numFmtId="0" fontId="109" fillId="0" borderId="0">
      <alignment vertical="center"/>
    </xf>
    <xf numFmtId="0" fontId="24" fillId="11" borderId="0" applyNumberFormat="0" applyBorder="0" applyAlignment="0" applyProtection="0">
      <alignment vertical="center"/>
    </xf>
    <xf numFmtId="0" fontId="36" fillId="0" borderId="0" applyProtection="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27" applyNumberFormat="0" applyAlignment="0" applyProtection="0">
      <alignment horizontal="left" vertical="center"/>
    </xf>
    <xf numFmtId="0" fontId="36" fillId="0" borderId="0" applyProtection="0"/>
    <xf numFmtId="0" fontId="36" fillId="0" borderId="0">
      <alignment vertical="center"/>
    </xf>
    <xf numFmtId="49" fontId="5" fillId="0" borderId="5">
      <alignment vertical="center" wrapText="1"/>
    </xf>
    <xf numFmtId="0" fontId="109" fillId="0" borderId="0">
      <alignment vertical="center"/>
    </xf>
    <xf numFmtId="0" fontId="36" fillId="0" borderId="0"/>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49" fontId="5" fillId="0" borderId="5">
      <alignment vertical="center" wrapText="1"/>
    </xf>
    <xf numFmtId="0" fontId="36" fillId="0" borderId="0"/>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0" fontId="36" fillId="0" borderId="0">
      <alignment vertical="center"/>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0" fontId="36" fillId="0" borderId="0"/>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0" fontId="36" fillId="0" borderId="0">
      <alignment vertical="center"/>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0" fontId="36" fillId="0" borderId="0"/>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49" fontId="5" fillId="0" borderId="5">
      <alignment vertical="center" wrapText="1"/>
    </xf>
    <xf numFmtId="0" fontId="36" fillId="0" borderId="0"/>
    <xf numFmtId="181" fontId="22" fillId="0" borderId="5">
      <alignment horizontal="righ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27"/>
    <xf numFmtId="0" fontId="36" fillId="0"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27" applyNumberFormat="0" applyAlignment="0" applyProtection="0">
      <alignment horizontal="left" vertical="center"/>
    </xf>
    <xf numFmtId="0" fontId="36" fillId="0" borderId="0" applyProtection="0">
      <alignment vertical="center"/>
    </xf>
    <xf numFmtId="0" fontId="53" fillId="0" borderId="0">
      <alignment horizontal="center" vertical="center"/>
    </xf>
    <xf numFmtId="0" fontId="44" fillId="0" borderId="27" applyNumberFormat="0" applyAlignment="0" applyProtection="0">
      <alignment horizontal="left" vertical="center"/>
    </xf>
    <xf numFmtId="0" fontId="24" fillId="14" borderId="0" applyNumberFormat="0" applyBorder="0" applyAlignment="0" applyProtection="0">
      <alignment vertical="center"/>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0" fontId="36" fillId="0" borderId="0" applyProtection="0">
      <alignment vertical="center"/>
    </xf>
    <xf numFmtId="0" fontId="53" fillId="0" borderId="0">
      <alignment horizontal="center" vertical="center"/>
    </xf>
    <xf numFmtId="0" fontId="44" fillId="0" borderId="27" applyNumberFormat="0" applyAlignment="0" applyProtection="0">
      <alignment horizontal="left" vertical="center"/>
    </xf>
    <xf numFmtId="0" fontId="24" fillId="14" borderId="0" applyNumberFormat="0" applyBorder="0" applyAlignment="0" applyProtection="0">
      <alignment vertical="center"/>
    </xf>
    <xf numFmtId="0" fontId="36" fillId="0" borderId="0" applyProtection="0">
      <alignment vertical="center"/>
    </xf>
    <xf numFmtId="0" fontId="44" fillId="0" borderId="7">
      <alignment horizontal="left" vertical="center"/>
    </xf>
    <xf numFmtId="0" fontId="36" fillId="0" borderId="0" applyProtection="0">
      <alignment vertical="center"/>
    </xf>
    <xf numFmtId="0" fontId="43" fillId="7" borderId="3">
      <alignment vertical="center"/>
      <protection locked="0"/>
    </xf>
    <xf numFmtId="0" fontId="24" fillId="5" borderId="0" applyNumberFormat="0" applyBorder="0" applyAlignment="0" applyProtection="0">
      <alignment vertical="center"/>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0" fontId="36" fillId="0" borderId="0" applyProtection="0">
      <alignment vertical="center"/>
    </xf>
    <xf numFmtId="181" fontId="5" fillId="0" borderId="5">
      <alignment horizontal="right" vertical="center" wrapText="1"/>
    </xf>
    <xf numFmtId="181" fontId="5" fillId="0" borderId="5">
      <alignment horizontal="right" vertical="center" wrapText="1"/>
    </xf>
    <xf numFmtId="0" fontId="24" fillId="5" borderId="0" applyNumberFormat="0" applyBorder="0" applyAlignment="0" applyProtection="0">
      <alignment vertical="center"/>
    </xf>
    <xf numFmtId="0" fontId="22" fillId="6" borderId="7"/>
    <xf numFmtId="0" fontId="36" fillId="0" borderId="0" applyProtection="0">
      <alignment vertical="center"/>
    </xf>
    <xf numFmtId="181" fontId="5" fillId="0" borderId="5">
      <alignment horizontal="right" vertical="center" wrapText="1"/>
    </xf>
    <xf numFmtId="181" fontId="5" fillId="0" borderId="5">
      <alignment horizontal="right" vertical="center" wrapText="1"/>
    </xf>
    <xf numFmtId="0" fontId="36" fillId="0" borderId="0" applyProtection="0">
      <alignment vertical="center"/>
    </xf>
    <xf numFmtId="0" fontId="43" fillId="7" borderId="3">
      <alignment vertical="center"/>
      <protection locked="0"/>
    </xf>
    <xf numFmtId="0" fontId="36" fillId="0" borderId="0" applyProtection="0">
      <alignment vertical="center"/>
    </xf>
    <xf numFmtId="0" fontId="36" fillId="0" borderId="0" applyProtection="0">
      <alignment vertical="center"/>
    </xf>
    <xf numFmtId="189" fontId="48" fillId="0" borderId="0" applyFill="0" applyBorder="0" applyAlignment="0"/>
    <xf numFmtId="49" fontId="22" fillId="0" borderId="5" applyProtection="0">
      <alignment vertical="center" wrapText="1"/>
    </xf>
    <xf numFmtId="49" fontId="22" fillId="0" borderId="5" applyProtection="0">
      <alignment vertical="center" wrapText="1"/>
    </xf>
    <xf numFmtId="0" fontId="36" fillId="0" borderId="0"/>
    <xf numFmtId="178" fontId="22" fillId="0" borderId="5">
      <alignment horizontal="right" vertical="center" wrapText="1"/>
    </xf>
    <xf numFmtId="0" fontId="36" fillId="0" borderId="0">
      <alignment vertical="center"/>
    </xf>
    <xf numFmtId="49" fontId="5" fillId="0" borderId="5">
      <alignment horizontal="center" vertical="center" wrapText="1"/>
    </xf>
    <xf numFmtId="49" fontId="5" fillId="0" borderId="5">
      <alignment horizontal="center"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5" fillId="0" borderId="5">
      <alignment horizontal="center" vertical="center" wrapText="1"/>
    </xf>
    <xf numFmtId="49" fontId="5" fillId="0" borderId="5">
      <alignment horizontal="center" vertical="center" wrapText="1"/>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xf numFmtId="0" fontId="36" fillId="0" borderId="0"/>
    <xf numFmtId="49" fontId="5" fillId="0" borderId="5">
      <alignment vertical="center" wrapText="1"/>
    </xf>
    <xf numFmtId="0" fontId="36" fillId="0" borderId="0" applyProtection="0"/>
    <xf numFmtId="0" fontId="36" fillId="0" borderId="0"/>
    <xf numFmtId="0" fontId="44" fillId="0" borderId="7">
      <alignment horizontal="left" vertical="center"/>
    </xf>
    <xf numFmtId="0" fontId="36" fillId="0" borderId="0">
      <alignment vertical="center"/>
    </xf>
    <xf numFmtId="49" fontId="22" fillId="0" borderId="5" applyProtection="0">
      <alignment vertical="center" wrapText="1"/>
    </xf>
    <xf numFmtId="49" fontId="22" fillId="0" borderId="5" applyProtection="0">
      <alignment vertical="center" wrapText="1"/>
    </xf>
    <xf numFmtId="0" fontId="36" fillId="0" borderId="0">
      <alignment vertical="center"/>
    </xf>
    <xf numFmtId="181" fontId="22"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0" fontId="53" fillId="0" borderId="0">
      <alignment horizontal="center" vertical="center"/>
    </xf>
    <xf numFmtId="49" fontId="22" fillId="0" borderId="5" applyProtection="0">
      <alignment horizontal="center" vertical="center" wrapText="1"/>
    </xf>
    <xf numFmtId="0" fontId="36" fillId="0" borderId="0">
      <alignment vertical="center"/>
    </xf>
    <xf numFmtId="0" fontId="53" fillId="0" borderId="0">
      <alignment horizontal="center" vertical="center"/>
    </xf>
    <xf numFmtId="49" fontId="22" fillId="0" borderId="5" applyProtection="0">
      <alignment horizontal="center" vertical="center" wrapText="1"/>
    </xf>
    <xf numFmtId="0" fontId="36" fillId="0" borderId="0">
      <alignment vertical="center"/>
    </xf>
    <xf numFmtId="0" fontId="36" fillId="0" borderId="0" applyProtection="0">
      <alignment vertical="center"/>
    </xf>
    <xf numFmtId="0" fontId="36" fillId="0" borderId="0">
      <alignment vertical="center"/>
    </xf>
    <xf numFmtId="0" fontId="53" fillId="0" borderId="0">
      <alignment horizontal="center" vertical="center"/>
    </xf>
    <xf numFmtId="49" fontId="22" fillId="0" borderId="5" applyProtection="0">
      <alignment horizontal="center" vertical="center" wrapText="1"/>
    </xf>
    <xf numFmtId="0" fontId="36" fillId="0" borderId="0">
      <alignment vertical="center"/>
    </xf>
    <xf numFmtId="0" fontId="53" fillId="0" borderId="0">
      <alignment horizontal="center" vertical="center"/>
    </xf>
    <xf numFmtId="49" fontId="22" fillId="0" borderId="5" applyProtection="0">
      <alignment horizontal="center" vertical="center" wrapText="1"/>
    </xf>
    <xf numFmtId="0" fontId="36" fillId="0" borderId="0">
      <alignment vertical="center"/>
    </xf>
    <xf numFmtId="0" fontId="40" fillId="0" borderId="0">
      <alignment horizontal="center" vertical="center" wrapText="1"/>
      <protection locked="0"/>
    </xf>
    <xf numFmtId="0" fontId="36" fillId="0" borderId="0" applyProtection="0">
      <alignment vertical="center"/>
    </xf>
    <xf numFmtId="0" fontId="36" fillId="0" borderId="0">
      <alignment vertical="center"/>
    </xf>
    <xf numFmtId="0" fontId="24" fillId="0" borderId="0">
      <alignment vertical="center"/>
    </xf>
    <xf numFmtId="0" fontId="109" fillId="0" borderId="0">
      <alignment vertical="center"/>
    </xf>
    <xf numFmtId="0" fontId="40" fillId="0" borderId="0">
      <alignment horizontal="center" vertical="center" wrapText="1"/>
      <protection locked="0"/>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36" fillId="0" borderId="0">
      <alignment vertical="center"/>
    </xf>
    <xf numFmtId="0" fontId="24" fillId="0" borderId="0">
      <alignment vertical="center"/>
    </xf>
    <xf numFmtId="0" fontId="22" fillId="0" borderId="0"/>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36" fillId="0" borderId="0">
      <alignment vertical="center"/>
    </xf>
    <xf numFmtId="0" fontId="22"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0" fontId="36" fillId="0" borderId="0">
      <alignment vertical="center"/>
    </xf>
    <xf numFmtId="0" fontId="40" fillId="0" borderId="0">
      <alignment horizontal="center" vertical="center" wrapText="1"/>
      <protection locked="0"/>
    </xf>
    <xf numFmtId="0" fontId="47" fillId="0" borderId="0">
      <alignment vertical="center"/>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0" fontId="19"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49" fontId="5" fillId="0" borderId="5">
      <alignment horizontal="center" vertical="center" wrapText="1"/>
    </xf>
    <xf numFmtId="49" fontId="5" fillId="0" borderId="5">
      <alignment horizontal="center" vertical="center" wrapText="1"/>
    </xf>
    <xf numFmtId="0" fontId="36" fillId="0" borderId="0"/>
    <xf numFmtId="0" fontId="36" fillId="0" borderId="0">
      <alignment vertical="center"/>
    </xf>
    <xf numFmtId="0" fontId="40" fillId="0" borderId="0">
      <alignment horizontal="center" vertical="center" wrapText="1"/>
      <protection locked="0"/>
    </xf>
    <xf numFmtId="0" fontId="36" fillId="0" borderId="0" applyProtection="0">
      <alignment vertical="center"/>
    </xf>
    <xf numFmtId="0" fontId="3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40" fillId="0" borderId="0">
      <alignment horizontal="center" vertical="center" wrapText="1"/>
      <protection locked="0"/>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0" fontId="44" fillId="0" borderId="7">
      <alignment horizontal="left" vertical="center"/>
    </xf>
    <xf numFmtId="0" fontId="36" fillId="0" borderId="0" applyProtection="0">
      <alignment vertical="center"/>
    </xf>
    <xf numFmtId="0" fontId="36" fillId="0" borderId="0">
      <alignment vertical="center"/>
    </xf>
    <xf numFmtId="0" fontId="43" fillId="7" borderId="3">
      <alignment vertical="center"/>
      <protection locked="0"/>
    </xf>
    <xf numFmtId="0" fontId="36" fillId="0" borderId="0"/>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43" fillId="7" borderId="3">
      <alignment vertical="center"/>
      <protection locked="0"/>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177" fontId="19" fillId="0" borderId="0">
      <alignment vertical="center"/>
    </xf>
    <xf numFmtId="0" fontId="36" fillId="0" borderId="0">
      <alignment vertical="center"/>
    </xf>
    <xf numFmtId="177" fontId="19" fillId="0" borderId="0"/>
    <xf numFmtId="177" fontId="19" fillId="0" borderId="0"/>
    <xf numFmtId="0" fontId="3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22" fillId="6" borderId="7" applyNumberFormat="0" applyFont="0" applyAlignment="0">
      <alignment horizontal="center" vertical="center"/>
    </xf>
    <xf numFmtId="0" fontId="45" fillId="6" borderId="7" applyNumberFormat="0" applyFont="0" applyAlignment="0">
      <alignment horizontal="center"/>
    </xf>
    <xf numFmtId="0" fontId="3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0" fontId="36" fillId="0" borderId="0">
      <alignment vertical="center"/>
    </xf>
    <xf numFmtId="15" fontId="4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49" fontId="5" fillId="0" borderId="5">
      <alignment horizontal="center" vertical="center" wrapText="1"/>
    </xf>
    <xf numFmtId="49" fontId="5" fillId="0" borderId="5">
      <alignment horizontal="center" vertical="center" wrapText="1"/>
    </xf>
    <xf numFmtId="0" fontId="36" fillId="0" borderId="0">
      <alignment vertical="center"/>
    </xf>
    <xf numFmtId="49" fontId="5" fillId="0" borderId="5" applyProtection="0">
      <alignment horizontal="center" vertical="center" wrapText="1"/>
    </xf>
    <xf numFmtId="0" fontId="40" fillId="0" borderId="0">
      <alignment horizontal="center" vertical="center" wrapText="1"/>
      <protection locked="0"/>
    </xf>
    <xf numFmtId="0" fontId="36" fillId="0" borderId="0">
      <alignment vertical="center"/>
    </xf>
    <xf numFmtId="0" fontId="36" fillId="0" borderId="0">
      <alignment vertical="center"/>
    </xf>
    <xf numFmtId="49" fontId="5" fillId="0" borderId="5" applyProtection="0">
      <alignment horizontal="center" vertical="center" wrapText="1"/>
    </xf>
    <xf numFmtId="0" fontId="40" fillId="0" borderId="0">
      <alignment horizontal="center" vertical="center" wrapText="1"/>
      <protection locked="0"/>
    </xf>
    <xf numFmtId="0" fontId="36" fillId="0" borderId="0">
      <alignment vertical="center"/>
    </xf>
    <xf numFmtId="0" fontId="40" fillId="0" borderId="0">
      <alignment horizontal="center" vertical="center" wrapText="1"/>
      <protection locked="0"/>
    </xf>
    <xf numFmtId="181" fontId="5" fillId="0" borderId="5" applyProtection="0">
      <alignment horizontal="right" vertical="center" wrapText="1"/>
    </xf>
    <xf numFmtId="0" fontId="47" fillId="0" borderId="0">
      <alignment vertical="center"/>
    </xf>
    <xf numFmtId="0" fontId="22" fillId="6" borderId="7"/>
    <xf numFmtId="0" fontId="36" fillId="0" borderId="0">
      <alignment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40" fillId="0" borderId="0">
      <alignment horizontal="center" vertical="center" wrapText="1"/>
      <protection locked="0"/>
    </xf>
    <xf numFmtId="181" fontId="5" fillId="0" borderId="5" applyProtection="0">
      <alignment horizontal="right" vertical="center" wrapText="1"/>
    </xf>
    <xf numFmtId="0" fontId="47" fillId="0" borderId="0">
      <alignment vertical="center"/>
    </xf>
    <xf numFmtId="0" fontId="36" fillId="0" borderId="0">
      <alignment vertical="center"/>
    </xf>
    <xf numFmtId="49" fontId="5" fillId="0" borderId="5" applyProtection="0">
      <alignment horizontal="center" vertical="center" wrapText="1"/>
    </xf>
    <xf numFmtId="0" fontId="24" fillId="6" borderId="7">
      <alignment vertical="center"/>
    </xf>
    <xf numFmtId="0" fontId="36" fillId="0" borderId="0">
      <alignment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44" fillId="0" borderId="7">
      <alignment horizontal="left" vertical="center"/>
    </xf>
    <xf numFmtId="0" fontId="36" fillId="0" borderId="0"/>
    <xf numFmtId="49" fontId="5" fillId="0" borderId="5">
      <alignment vertical="center" wrapText="1"/>
    </xf>
    <xf numFmtId="49" fontId="5" fillId="0" borderId="5">
      <alignment vertical="center" wrapText="1"/>
    </xf>
    <xf numFmtId="0" fontId="36" fillId="0" borderId="0">
      <alignment vertical="center"/>
    </xf>
    <xf numFmtId="0" fontId="36"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40" fillId="0" borderId="0">
      <alignment horizontal="center" vertical="center" wrapText="1"/>
      <protection locked="0"/>
    </xf>
    <xf numFmtId="186" fontId="48" fillId="0" borderId="0">
      <alignment vertical="center"/>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0" fontId="40" fillId="0" borderId="0">
      <alignment horizontal="center" vertical="center" wrapText="1"/>
      <protection locked="0"/>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36" fillId="0" borderId="0">
      <alignment vertical="center"/>
    </xf>
    <xf numFmtId="0" fontId="36" fillId="0" borderId="0">
      <alignment vertical="center"/>
    </xf>
    <xf numFmtId="0" fontId="36" fillId="0" borderId="0">
      <alignment vertical="center"/>
    </xf>
    <xf numFmtId="0" fontId="38" fillId="5" borderId="5" applyNumberFormat="0" applyBorder="0" applyAlignment="0" applyProtection="0">
      <alignment vertical="center"/>
    </xf>
    <xf numFmtId="10" fontId="38" fillId="5" borderId="5" applyNumberFormat="0" applyBorder="0" applyAlignment="0" applyProtection="0"/>
    <xf numFmtId="0" fontId="22" fillId="6" borderId="7"/>
    <xf numFmtId="0" fontId="36" fillId="0" borderId="0">
      <alignment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10" fontId="38" fillId="5" borderId="5" applyNumberFormat="0" applyBorder="0" applyAlignment="0" applyProtection="0"/>
    <xf numFmtId="0" fontId="24" fillId="6" borderId="7">
      <alignment vertical="center"/>
    </xf>
    <xf numFmtId="0" fontId="36" fillId="0" borderId="0">
      <alignment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44" fillId="0" borderId="7">
      <alignment horizontal="left" vertical="center"/>
    </xf>
    <xf numFmtId="0" fontId="36" fillId="0" borderId="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0" fontId="36" fillId="0" borderId="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0" fontId="36" fillId="0" borderId="0">
      <alignment vertical="center"/>
    </xf>
    <xf numFmtId="198" fontId="81" fillId="0" borderId="0">
      <alignment vertical="center"/>
    </xf>
    <xf numFmtId="49" fontId="5" fillId="0" borderId="5">
      <alignment vertical="center" wrapText="1"/>
    </xf>
    <xf numFmtId="49" fontId="5" fillId="0" borderId="5">
      <alignment vertical="center" wrapText="1"/>
    </xf>
    <xf numFmtId="0" fontId="47"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0" fontId="47" fillId="0" borderId="0">
      <alignment vertical="center"/>
    </xf>
    <xf numFmtId="0" fontId="36" fillId="0" borderId="0">
      <alignment vertical="center"/>
    </xf>
    <xf numFmtId="49" fontId="5" fillId="0" borderId="5">
      <alignment vertical="center" wrapText="1"/>
    </xf>
    <xf numFmtId="49" fontId="5" fillId="0" borderId="5">
      <alignment vertical="center" wrapText="1"/>
    </xf>
    <xf numFmtId="0" fontId="38" fillId="5" borderId="0"/>
    <xf numFmtId="0" fontId="36" fillId="0" borderId="0">
      <alignment vertical="center"/>
    </xf>
    <xf numFmtId="0" fontId="38" fillId="5" borderId="5" applyNumberFormat="0" applyBorder="0" applyAlignment="0" applyProtection="0">
      <alignment vertical="center"/>
    </xf>
    <xf numFmtId="0" fontId="38" fillId="5" borderId="0"/>
    <xf numFmtId="0" fontId="36" fillId="0" borderId="0">
      <alignment vertical="center"/>
    </xf>
    <xf numFmtId="0" fontId="44" fillId="0" borderId="7">
      <alignment horizontal="left" vertical="center"/>
    </xf>
    <xf numFmtId="0" fontId="36" fillId="0" borderId="0">
      <alignment vertical="center"/>
    </xf>
    <xf numFmtId="0" fontId="22" fillId="28" borderId="0" applyNumberFormat="0" applyFont="0" applyBorder="0" applyAlignment="0">
      <alignment horizontal="center" vertical="center"/>
    </xf>
    <xf numFmtId="0" fontId="45" fillId="28" borderId="0" applyNumberFormat="0" applyFont="0" applyBorder="0" applyAlignment="0">
      <alignment horizontal="center"/>
    </xf>
    <xf numFmtId="0" fontId="36" fillId="0" borderId="0">
      <alignment vertical="center"/>
    </xf>
    <xf numFmtId="0" fontId="53" fillId="0" borderId="25">
      <alignment horizontal="center" vertical="center"/>
    </xf>
    <xf numFmtId="0" fontId="36" fillId="0" borderId="0">
      <alignment vertical="center"/>
    </xf>
    <xf numFmtId="0" fontId="53" fillId="0" borderId="25">
      <alignment horizontal="center"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61" fillId="29" borderId="0" applyNumberFormat="0" applyBorder="0" applyAlignment="0" applyProtection="0">
      <alignment vertical="center"/>
    </xf>
    <xf numFmtId="0" fontId="36" fillId="0" borderId="0">
      <alignment vertical="center"/>
    </xf>
    <xf numFmtId="0" fontId="22" fillId="0" borderId="0"/>
    <xf numFmtId="0" fontId="36" fillId="0" borderId="0">
      <alignment vertical="center"/>
    </xf>
    <xf numFmtId="0" fontId="36" fillId="0" borderId="0">
      <alignment vertical="center"/>
    </xf>
    <xf numFmtId="189" fontId="48" fillId="0" borderId="0" applyFill="0" applyBorder="0" applyAlignment="0">
      <alignment vertical="center"/>
    </xf>
    <xf numFmtId="0" fontId="36" fillId="0" borderId="0"/>
    <xf numFmtId="0" fontId="36" fillId="0" borderId="0">
      <alignment vertical="center"/>
    </xf>
    <xf numFmtId="189" fontId="48" fillId="0" borderId="0"/>
    <xf numFmtId="9" fontId="24" fillId="0" borderId="0">
      <alignment vertical="center"/>
    </xf>
    <xf numFmtId="0" fontId="36" fillId="0" borderId="0"/>
    <xf numFmtId="0" fontId="36" fillId="0" borderId="0">
      <alignment vertical="center"/>
    </xf>
    <xf numFmtId="0" fontId="36" fillId="0" borderId="0" applyProtection="0"/>
    <xf numFmtId="198" fontId="76" fillId="0" borderId="32">
      <alignment horizontal="left"/>
    </xf>
    <xf numFmtId="0" fontId="36" fillId="0" borderId="0">
      <alignment vertical="center"/>
    </xf>
    <xf numFmtId="49" fontId="22" fillId="0" borderId="5">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6" fontId="48" fillId="0" borderId="0"/>
    <xf numFmtId="186" fontId="48" fillId="0" borderId="0"/>
    <xf numFmtId="0" fontId="36" fillId="0" borderId="0">
      <alignment vertical="center"/>
    </xf>
    <xf numFmtId="0" fontId="36" fillId="0" borderId="0">
      <alignment vertical="center"/>
    </xf>
    <xf numFmtId="0" fontId="36" fillId="0" borderId="0">
      <alignment vertical="center"/>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0" fontId="44" fillId="0" borderId="7">
      <alignment horizontal="left" vertical="center"/>
    </xf>
    <xf numFmtId="0" fontId="36" fillId="0" borderId="0">
      <alignment vertical="center"/>
    </xf>
    <xf numFmtId="49" fontId="22" fillId="0" borderId="5">
      <alignment vertical="center" wrapText="1"/>
    </xf>
    <xf numFmtId="49" fontId="22" fillId="0" borderId="5">
      <alignment vertical="center" wrapText="1"/>
    </xf>
    <xf numFmtId="0" fontId="44" fillId="0" borderId="7">
      <alignment horizontal="left" vertical="center"/>
    </xf>
    <xf numFmtId="0" fontId="36" fillId="0" borderId="0">
      <alignment vertical="center"/>
    </xf>
    <xf numFmtId="49" fontId="22" fillId="0" borderId="5">
      <alignment vertical="center" wrapText="1"/>
    </xf>
    <xf numFmtId="49" fontId="22" fillId="0" borderId="5">
      <alignment vertical="center" wrapText="1"/>
    </xf>
    <xf numFmtId="0" fontId="53" fillId="0" borderId="0">
      <alignment horizontal="center" vertical="center"/>
    </xf>
    <xf numFmtId="0" fontId="22" fillId="6" borderId="7"/>
    <xf numFmtId="0" fontId="36" fillId="0" borderId="0">
      <alignment vertical="center"/>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0" fontId="44" fillId="0" borderId="7">
      <alignment horizontal="left" vertical="center"/>
    </xf>
    <xf numFmtId="0" fontId="36" fillId="0" borderId="0">
      <alignment vertical="center"/>
    </xf>
    <xf numFmtId="49" fontId="22" fillId="0" borderId="5">
      <alignment vertical="center" wrapText="1"/>
    </xf>
    <xf numFmtId="49" fontId="22" fillId="0" borderId="5">
      <alignment vertical="center" wrapText="1"/>
    </xf>
    <xf numFmtId="0" fontId="44" fillId="0" borderId="7">
      <alignment horizontal="left" vertical="center"/>
    </xf>
    <xf numFmtId="0" fontId="36" fillId="0" borderId="0">
      <alignment vertical="center"/>
    </xf>
    <xf numFmtId="49" fontId="22" fillId="0" borderId="5">
      <alignment vertical="center" wrapText="1"/>
    </xf>
    <xf numFmtId="49" fontId="22" fillId="0" borderId="5">
      <alignment vertical="center" wrapText="1"/>
    </xf>
    <xf numFmtId="0" fontId="53" fillId="0" borderId="0">
      <alignment horizontal="center"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55" fillId="0" borderId="0">
      <alignment horizontal="left" vertical="top" wrapText="1"/>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24" fillId="12" borderId="0" applyNumberFormat="0" applyBorder="0" applyAlignment="0" applyProtection="0">
      <alignment vertical="center"/>
    </xf>
    <xf numFmtId="0" fontId="36" fillId="0" borderId="0">
      <alignment vertical="center"/>
    </xf>
    <xf numFmtId="49" fontId="22" fillId="0" borderId="5">
      <alignment vertical="center" wrapText="1"/>
    </xf>
    <xf numFmtId="49" fontId="22" fillId="0" borderId="5">
      <alignment vertical="center" wrapText="1"/>
    </xf>
    <xf numFmtId="0" fontId="36" fillId="0" borderId="0">
      <alignment vertical="center"/>
    </xf>
    <xf numFmtId="49" fontId="22" fillId="0" borderId="5">
      <alignment vertical="center" wrapText="1"/>
    </xf>
    <xf numFmtId="49" fontId="22" fillId="0" borderId="5">
      <alignment vertical="center" wrapText="1"/>
    </xf>
    <xf numFmtId="0" fontId="49" fillId="30" borderId="0" applyProtection="0">
      <alignment vertical="center"/>
    </xf>
    <xf numFmtId="0" fontId="36" fillId="0" borderId="0">
      <alignment vertical="center"/>
    </xf>
    <xf numFmtId="0" fontId="47" fillId="0" borderId="0">
      <alignment vertical="center"/>
    </xf>
    <xf numFmtId="181" fontId="22" fillId="0" borderId="5">
      <alignment horizontal="right" vertical="center" wrapText="1"/>
    </xf>
    <xf numFmtId="0" fontId="61" fillId="13" borderId="0" applyNumberFormat="0" applyBorder="0" applyAlignment="0" applyProtection="0">
      <alignment vertical="center"/>
    </xf>
    <xf numFmtId="0" fontId="36" fillId="0" borderId="0">
      <alignment vertical="center"/>
    </xf>
    <xf numFmtId="0" fontId="36" fillId="0" borderId="0" applyProtection="0">
      <alignment vertical="center"/>
    </xf>
    <xf numFmtId="0" fontId="57" fillId="0" borderId="0" applyNumberFormat="0" applyAlignment="0">
      <alignment horizontal="left" vertical="center"/>
    </xf>
    <xf numFmtId="0" fontId="36" fillId="0" borderId="0">
      <alignment vertical="center"/>
    </xf>
    <xf numFmtId="0" fontId="78" fillId="0" borderId="32">
      <alignment horizontal="right"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43" fontId="22" fillId="0" borderId="0"/>
    <xf numFmtId="0" fontId="78" fillId="0" borderId="32">
      <alignment horizontal="right"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53" fillId="0" borderId="25">
      <alignment horizontal="center"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53" fillId="0" borderId="25">
      <alignment horizontal="center"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78" fillId="0" borderId="32">
      <alignment horizontal="right"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44" fillId="0" borderId="7">
      <alignment horizontal="lef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44" fillId="0" borderId="7">
      <alignment horizontal="lef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44" fillId="0" borderId="7">
      <alignment horizontal="left" vertical="center"/>
    </xf>
    <xf numFmtId="0" fontId="38" fillId="13" borderId="0" applyNumberFormat="0" applyBorder="0" applyAlignment="0" applyProtection="0">
      <alignment vertical="center"/>
    </xf>
    <xf numFmtId="181" fontId="5" fillId="0" borderId="5">
      <alignment horizontal="righ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44" fillId="0" borderId="7">
      <alignment horizontal="lef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189" fontId="48" fillId="0" borderId="0"/>
    <xf numFmtId="0" fontId="47" fillId="0" borderId="0">
      <alignment vertical="center"/>
      <protection locked="0"/>
    </xf>
    <xf numFmtId="0" fontId="36" fillId="0" borderId="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0" fontId="36" fillId="0" borderId="0">
      <alignment vertical="center"/>
    </xf>
    <xf numFmtId="181" fontId="22" fillId="0" borderId="5">
      <alignment horizontal="right" vertical="center" wrapText="1"/>
    </xf>
    <xf numFmtId="181" fontId="22" fillId="0" borderId="5">
      <alignment horizontal="right" vertical="center" wrapText="1"/>
    </xf>
    <xf numFmtId="189" fontId="48" fillId="0" borderId="0"/>
    <xf numFmtId="0" fontId="40" fillId="0" borderId="0">
      <alignment horizontal="center" vertical="center" wrapText="1"/>
      <protection locked="0"/>
    </xf>
    <xf numFmtId="0" fontId="47" fillId="0" borderId="0">
      <alignment vertical="center"/>
      <protection locked="0"/>
    </xf>
    <xf numFmtId="0" fontId="36" fillId="0" borderId="0">
      <alignment vertical="center"/>
    </xf>
    <xf numFmtId="198" fontId="60" fillId="0" borderId="30">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0" fontId="22" fillId="0" borderId="0"/>
    <xf numFmtId="49" fontId="22" fillId="0" borderId="5" applyProtection="0">
      <alignment horizontal="center" vertical="center" wrapText="1"/>
    </xf>
    <xf numFmtId="0" fontId="47" fillId="0" borderId="0">
      <alignment vertical="center"/>
      <protection locked="0"/>
    </xf>
    <xf numFmtId="0" fontId="36" fillId="0" borderId="0">
      <alignment vertical="center"/>
    </xf>
    <xf numFmtId="181" fontId="22" fillId="0" borderId="5">
      <alignment horizontal="right" vertical="center" wrapText="1"/>
    </xf>
    <xf numFmtId="181" fontId="22" fillId="0" borderId="5">
      <alignment horizontal="right" vertical="center" wrapText="1"/>
    </xf>
    <xf numFmtId="198" fontId="60" fillId="0" borderId="30">
      <alignment horizontal="center" vertical="center"/>
    </xf>
    <xf numFmtId="0" fontId="22" fillId="0" borderId="0"/>
    <xf numFmtId="49" fontId="22" fillId="0" borderId="5" applyProtection="0">
      <alignment horizontal="center" vertical="center" wrapText="1"/>
    </xf>
    <xf numFmtId="49" fontId="22" fillId="0" borderId="5" applyProtection="0">
      <alignment horizontal="center" vertical="center" wrapText="1"/>
    </xf>
    <xf numFmtId="0" fontId="47" fillId="0" borderId="0">
      <alignment vertical="center"/>
      <protection locked="0"/>
    </xf>
    <xf numFmtId="0" fontId="24" fillId="14" borderId="0" applyNumberFormat="0" applyBorder="0" applyAlignment="0" applyProtection="0">
      <alignmen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189" fontId="48" fillId="0" borderId="0"/>
    <xf numFmtId="0" fontId="40" fillId="0" borderId="0">
      <alignment horizontal="center" vertical="center" wrapText="1"/>
      <protection locked="0"/>
    </xf>
    <xf numFmtId="0" fontId="36" fillId="0" borderId="0">
      <alignment vertical="center"/>
    </xf>
    <xf numFmtId="0" fontId="47" fillId="0" borderId="0">
      <alignment vertical="center"/>
      <protection locked="0"/>
    </xf>
    <xf numFmtId="0" fontId="36" fillId="0" borderId="0">
      <alignment vertical="center"/>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0" fontId="47" fillId="0" borderId="0">
      <alignment vertical="center"/>
      <protection locked="0"/>
    </xf>
    <xf numFmtId="0" fontId="36" fillId="0" borderId="0">
      <alignment vertical="center"/>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44" fillId="0" borderId="7">
      <alignment horizontal="left" vertical="center"/>
    </xf>
    <xf numFmtId="0" fontId="36" fillId="0" borderId="0">
      <alignment vertical="center"/>
    </xf>
    <xf numFmtId="0" fontId="36" fillId="0" borderId="0">
      <alignment vertical="center"/>
    </xf>
    <xf numFmtId="178" fontId="5" fillId="0" borderId="5" applyProtection="0">
      <alignment horizontal="right" vertical="center" wrapText="1"/>
    </xf>
    <xf numFmtId="0" fontId="36" fillId="0" borderId="0">
      <alignment vertical="center"/>
    </xf>
    <xf numFmtId="198" fontId="76" fillId="0" borderId="32">
      <alignment horizontal="left"/>
    </xf>
    <xf numFmtId="49" fontId="5" fillId="0" borderId="5" applyProtection="0">
      <alignment vertical="center" wrapText="1"/>
    </xf>
    <xf numFmtId="49" fontId="5" fillId="0" borderId="5" applyProtection="0">
      <alignment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198" fontId="76" fillId="0" borderId="32">
      <alignment horizontal="left"/>
    </xf>
    <xf numFmtId="49" fontId="5" fillId="0" borderId="5" applyProtection="0">
      <alignment vertical="center" wrapText="1"/>
    </xf>
    <xf numFmtId="49" fontId="5" fillId="0" borderId="5" applyProtection="0">
      <alignment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198" fontId="76" fillId="0" borderId="32">
      <alignment horizontal="left"/>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198" fontId="76" fillId="0" borderId="32">
      <alignment horizontal="left"/>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198" fontId="76" fillId="0" borderId="32">
      <alignment horizontal="left"/>
    </xf>
    <xf numFmtId="0" fontId="36" fillId="0" borderId="0">
      <alignment vertical="center"/>
    </xf>
    <xf numFmtId="178" fontId="5" fillId="0" borderId="5">
      <alignment horizontal="right" vertical="center" wrapText="1"/>
    </xf>
    <xf numFmtId="178" fontId="5" fillId="0" borderId="5">
      <alignment horizontal="right" vertical="center" wrapText="1"/>
    </xf>
    <xf numFmtId="0" fontId="36" fillId="0" borderId="0">
      <alignment vertical="center"/>
    </xf>
    <xf numFmtId="178" fontId="22" fillId="0" borderId="5">
      <alignment horizontal="right" vertical="center" wrapText="1"/>
    </xf>
    <xf numFmtId="178" fontId="22" fillId="0" borderId="5">
      <alignment horizontal="right" vertical="center" wrapText="1"/>
    </xf>
    <xf numFmtId="189" fontId="48" fillId="0" borderId="0"/>
    <xf numFmtId="0" fontId="36" fillId="0" borderId="0">
      <alignment vertical="center"/>
    </xf>
    <xf numFmtId="178" fontId="5" fillId="0" borderId="5">
      <alignment horizontal="right" vertical="center" wrapText="1"/>
    </xf>
    <xf numFmtId="189" fontId="48" fillId="0" borderId="0"/>
    <xf numFmtId="0" fontId="40" fillId="0" borderId="0">
      <alignment horizontal="center" vertical="center" wrapText="1"/>
      <protection locked="0"/>
    </xf>
    <xf numFmtId="0" fontId="36" fillId="0" borderId="0">
      <alignment vertical="center"/>
    </xf>
    <xf numFmtId="189" fontId="48" fillId="0" borderId="0"/>
    <xf numFmtId="0" fontId="40" fillId="0" borderId="0">
      <alignment horizontal="center" vertical="center" wrapText="1"/>
      <protection locked="0"/>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36" fillId="0" borderId="0" applyProtection="0">
      <alignment vertical="center"/>
    </xf>
    <xf numFmtId="0" fontId="36" fillId="0" borderId="0" applyProtection="0">
      <alignment vertical="center"/>
    </xf>
    <xf numFmtId="0" fontId="49" fillId="25"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pplyProtection="0">
      <alignment vertical="center"/>
    </xf>
    <xf numFmtId="15" fontId="46" fillId="0" borderId="0">
      <alignment vertical="center"/>
    </xf>
    <xf numFmtId="0" fontId="49" fillId="25"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pplyProtection="0">
      <alignment vertical="center"/>
    </xf>
    <xf numFmtId="0" fontId="36" fillId="0" borderId="0"/>
    <xf numFmtId="0" fontId="47" fillId="0" borderId="0">
      <alignment vertical="center"/>
    </xf>
    <xf numFmtId="0" fontId="36" fillId="0" borderId="0"/>
    <xf numFmtId="49" fontId="22" fillId="0" borderId="5" applyProtection="0">
      <alignment vertical="center" wrapText="1"/>
    </xf>
    <xf numFmtId="49" fontId="22" fillId="0" borderId="5" applyProtection="0">
      <alignment vertical="center" wrapText="1"/>
    </xf>
    <xf numFmtId="0" fontId="47" fillId="0" borderId="0">
      <alignment vertical="center"/>
    </xf>
    <xf numFmtId="0" fontId="36" fillId="0" borderId="0"/>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0" fontId="49" fillId="31" borderId="0" applyProtection="0">
      <alignment vertical="center"/>
    </xf>
    <xf numFmtId="0" fontId="36" fillId="0" borderId="0">
      <alignment vertical="center"/>
    </xf>
    <xf numFmtId="0" fontId="36" fillId="0" borderId="0" applyProtection="0">
      <alignment vertical="center"/>
    </xf>
    <xf numFmtId="49" fontId="5" fillId="0" borderId="5" applyProtection="0">
      <alignment horizontal="center" vertical="center" wrapText="1"/>
    </xf>
    <xf numFmtId="0" fontId="49" fillId="31" borderId="0" applyProtection="0">
      <alignment vertical="center"/>
    </xf>
    <xf numFmtId="0" fontId="36" fillId="0" borderId="0">
      <alignment vertical="center"/>
    </xf>
    <xf numFmtId="0" fontId="36" fillId="0" borderId="0" applyProtection="0">
      <alignment vertical="center"/>
    </xf>
    <xf numFmtId="181" fontId="5" fillId="0" borderId="5">
      <alignment horizontal="right" vertical="center" wrapText="1"/>
    </xf>
    <xf numFmtId="181" fontId="5" fillId="0" borderId="5">
      <alignment horizontal="right" vertical="center" wrapText="1"/>
    </xf>
    <xf numFmtId="0" fontId="47" fillId="0" borderId="0">
      <alignment vertical="center"/>
    </xf>
    <xf numFmtId="0" fontId="36" fillId="0" borderId="0" applyProtection="0">
      <alignment vertical="center"/>
    </xf>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180" fontId="65" fillId="19" borderId="0">
      <alignment vertical="center"/>
    </xf>
    <xf numFmtId="0" fontId="36" fillId="0" borderId="0" applyProtection="0">
      <alignment vertical="center"/>
    </xf>
    <xf numFmtId="0" fontId="36" fillId="0" borderId="0" applyProtection="0">
      <alignment vertical="center"/>
    </xf>
    <xf numFmtId="49" fontId="5" fillId="0" borderId="5">
      <alignment horizontal="center" vertical="center" wrapText="1"/>
    </xf>
    <xf numFmtId="0" fontId="36" fillId="0" borderId="0" applyProtection="0">
      <alignment vertical="center"/>
    </xf>
    <xf numFmtId="0" fontId="36" fillId="0" borderId="0" applyProtection="0">
      <alignment vertical="center"/>
    </xf>
    <xf numFmtId="49" fontId="5" fillId="0" borderId="5" applyProtection="0">
      <alignment vertical="center" wrapText="1"/>
    </xf>
    <xf numFmtId="49" fontId="5" fillId="0" borderId="5" applyProtection="0">
      <alignment vertical="center" wrapText="1"/>
    </xf>
    <xf numFmtId="180" fontId="65" fillId="19" borderId="0"/>
    <xf numFmtId="181" fontId="5" fillId="0" borderId="5">
      <alignment horizontal="right" vertical="center" wrapText="1"/>
    </xf>
    <xf numFmtId="181" fontId="5" fillId="0" borderId="5">
      <alignment horizontal="right" vertical="center" wrapText="1"/>
    </xf>
    <xf numFmtId="0" fontId="24" fillId="15" borderId="0" applyNumberFormat="0" applyBorder="0" applyAlignment="0" applyProtection="0">
      <alignment vertical="center"/>
    </xf>
    <xf numFmtId="0" fontId="36" fillId="0" borderId="0" applyProtection="0">
      <alignment vertical="center"/>
    </xf>
    <xf numFmtId="178" fontId="22" fillId="0" borderId="5" applyProtection="0">
      <alignment horizontal="right" vertical="center" wrapText="1"/>
    </xf>
    <xf numFmtId="0" fontId="57" fillId="0" borderId="0"/>
    <xf numFmtId="49" fontId="5" fillId="0" borderId="5" applyProtection="0">
      <alignment horizontal="center" vertical="center" wrapText="1"/>
    </xf>
    <xf numFmtId="49" fontId="5" fillId="0" borderId="5" applyProtection="0">
      <alignment horizontal="center" vertical="center" wrapText="1"/>
    </xf>
    <xf numFmtId="0" fontId="36" fillId="0" borderId="0"/>
    <xf numFmtId="49" fontId="5" fillId="0" borderId="5">
      <alignment vertical="center" wrapText="1"/>
    </xf>
    <xf numFmtId="0" fontId="36" fillId="0" borderId="0"/>
    <xf numFmtId="0" fontId="36" fillId="0" borderId="0"/>
    <xf numFmtId="0" fontId="36" fillId="0"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36" fillId="0" borderId="0"/>
    <xf numFmtId="0" fontId="47" fillId="0" borderId="0">
      <alignment vertical="center"/>
      <protection locked="0"/>
    </xf>
    <xf numFmtId="0" fontId="24" fillId="22" borderId="0" applyNumberFormat="0" applyBorder="0" applyAlignment="0" applyProtection="0">
      <alignment vertical="center"/>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0" fontId="36" fillId="0" borderId="0" applyProtection="0"/>
    <xf numFmtId="0" fontId="36" fillId="0" borderId="0">
      <alignment vertical="center"/>
    </xf>
    <xf numFmtId="0" fontId="36" fillId="0" borderId="0"/>
    <xf numFmtId="49" fontId="22" fillId="0" borderId="5" applyProtection="0">
      <alignment horizontal="center" vertical="center" wrapText="1"/>
    </xf>
    <xf numFmtId="49" fontId="22" fillId="0" borderId="5" applyProtection="0">
      <alignment horizontal="center" vertical="center" wrapText="1"/>
    </xf>
    <xf numFmtId="0" fontId="36" fillId="0" borderId="0"/>
    <xf numFmtId="0" fontId="36" fillId="0" borderId="0"/>
    <xf numFmtId="0" fontId="36" fillId="0"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0" fontId="36" fillId="0" borderId="0"/>
    <xf numFmtId="0" fontId="47" fillId="0" borderId="0">
      <alignment vertical="center"/>
      <protection locked="0"/>
    </xf>
    <xf numFmtId="0" fontId="36" fillId="0" borderId="0"/>
    <xf numFmtId="15" fontId="46"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36" fillId="0" borderId="0" applyProtection="0">
      <alignment vertical="center"/>
    </xf>
    <xf numFmtId="15" fontId="46"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lignment vertical="center"/>
    </xf>
    <xf numFmtId="49" fontId="5" fillId="0" borderId="5">
      <alignment horizontal="center" vertical="center" wrapText="1"/>
    </xf>
    <xf numFmtId="0" fontId="36"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36" fillId="0" borderId="0" applyProtection="0">
      <alignment vertical="center"/>
    </xf>
    <xf numFmtId="0" fontId="36" fillId="0" borderId="0"/>
    <xf numFmtId="0" fontId="36" fillId="0" borderId="0"/>
    <xf numFmtId="0" fontId="36" fillId="0" borderId="0"/>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xf numFmtId="0" fontId="36" fillId="0" borderId="0" applyProtection="0">
      <alignment vertical="center"/>
    </xf>
    <xf numFmtId="0" fontId="36" fillId="0" borderId="0" applyProtection="0"/>
    <xf numFmtId="0" fontId="36" fillId="0" borderId="0" applyProtection="0">
      <alignment vertical="center"/>
    </xf>
    <xf numFmtId="0" fontId="36" fillId="0" borderId="0" applyProtection="0"/>
    <xf numFmtId="0" fontId="36" fillId="0" borderId="0" applyProtection="0">
      <alignment vertical="center"/>
    </xf>
    <xf numFmtId="0" fontId="36" fillId="0" borderId="0" applyProtection="0">
      <alignment vertical="center"/>
    </xf>
    <xf numFmtId="178" fontId="5" fillId="0" borderId="5" applyProtection="0">
      <alignment horizontal="righ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36" fillId="0" borderId="0"/>
    <xf numFmtId="0" fontId="36" fillId="0" borderId="0"/>
    <xf numFmtId="0" fontId="36" fillId="0" borderId="0"/>
    <xf numFmtId="0" fontId="36" fillId="0" borderId="0">
      <alignment vertical="center"/>
    </xf>
    <xf numFmtId="178" fontId="22" fillId="0" borderId="5">
      <alignment horizontal="right" vertical="center" wrapText="1"/>
    </xf>
    <xf numFmtId="178" fontId="22" fillId="0" borderId="5">
      <alignment horizontal="right" vertical="center" wrapText="1"/>
    </xf>
    <xf numFmtId="0" fontId="36" fillId="0" borderId="0"/>
    <xf numFmtId="0" fontId="36" fillId="0" borderId="0">
      <alignment vertical="center"/>
    </xf>
    <xf numFmtId="0" fontId="36" fillId="0" borderId="0"/>
    <xf numFmtId="0" fontId="36" fillId="0" borderId="0">
      <alignment vertical="center"/>
    </xf>
    <xf numFmtId="0" fontId="36" fillId="0" borderId="0"/>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applyProtection="0"/>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applyProtection="0"/>
    <xf numFmtId="0" fontId="36" fillId="0" borderId="0" applyProtection="0"/>
    <xf numFmtId="0" fontId="36" fillId="0" borderId="0" applyProtection="0"/>
    <xf numFmtId="0" fontId="36" fillId="0" borderId="0" applyProtection="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38" fillId="13" borderId="0"/>
    <xf numFmtId="0" fontId="28" fillId="0" borderId="35" applyProtection="0">
      <alignment vertical="center"/>
    </xf>
    <xf numFmtId="0" fontId="36" fillId="0" borderId="0"/>
    <xf numFmtId="0" fontId="36" fillId="0" borderId="0"/>
    <xf numFmtId="0" fontId="63" fillId="18" borderId="31">
      <alignment horizontal="left" vertical="center" indent="1"/>
    </xf>
    <xf numFmtId="0" fontId="36" fillId="0" borderId="0"/>
    <xf numFmtId="0" fontId="63" fillId="18" borderId="31">
      <alignment horizontal="left" vertical="center" indent="1"/>
    </xf>
    <xf numFmtId="0" fontId="36" fillId="0" borderId="0"/>
    <xf numFmtId="0" fontId="63" fillId="18" borderId="31">
      <alignment horizontal="left" vertical="center" indent="1"/>
    </xf>
    <xf numFmtId="0" fontId="36" fillId="0" borderId="0"/>
    <xf numFmtId="189" fontId="48" fillId="0" borderId="0" applyFill="0" applyBorder="0" applyAlignment="0">
      <alignment vertical="center"/>
    </xf>
    <xf numFmtId="0" fontId="36" fillId="0" borderId="0"/>
    <xf numFmtId="189" fontId="48" fillId="0" borderId="0" applyFill="0" applyBorder="0" applyAlignment="0">
      <alignment vertical="center"/>
    </xf>
    <xf numFmtId="189" fontId="48" fillId="0" borderId="0" applyFill="0" applyBorder="0" applyAlignment="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178" fontId="5" fillId="0" borderId="5" applyProtection="0">
      <alignment horizontal="right" vertical="center" wrapText="1"/>
    </xf>
    <xf numFmtId="0" fontId="53" fillId="0" borderId="25">
      <alignment horizontal="center" vertical="center"/>
    </xf>
    <xf numFmtId="0" fontId="36" fillId="0" borderId="0" applyProtection="0">
      <alignment vertical="center"/>
    </xf>
    <xf numFmtId="178" fontId="5" fillId="0" borderId="5" applyProtection="0">
      <alignment horizontal="right" vertical="center" wrapText="1"/>
    </xf>
    <xf numFmtId="0" fontId="22" fillId="6" borderId="7" applyNumberFormat="0" applyFont="0" applyAlignment="0">
      <alignment horizontal="center" vertical="center"/>
    </xf>
    <xf numFmtId="0" fontId="36" fillId="0" borderId="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0" fontId="22" fillId="6" borderId="7" applyNumberFormat="0" applyFont="0" applyAlignment="0">
      <alignment horizontal="center" vertical="center"/>
    </xf>
    <xf numFmtId="0" fontId="36" fillId="0" borderId="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0" fontId="53" fillId="0" borderId="25">
      <alignment horizontal="center" vertical="center"/>
    </xf>
    <xf numFmtId="0" fontId="36" fillId="0" borderId="0" applyProtection="0">
      <alignment vertical="center"/>
    </xf>
    <xf numFmtId="178" fontId="5" fillId="0" borderId="5" applyProtection="0">
      <alignment horizontal="right" vertical="center" wrapText="1"/>
    </xf>
    <xf numFmtId="195" fontId="19" fillId="0" borderId="0">
      <alignment vertical="center"/>
    </xf>
    <xf numFmtId="0" fontId="36" fillId="0" borderId="0" applyProtection="0">
      <alignment vertical="center"/>
    </xf>
    <xf numFmtId="0" fontId="22" fillId="6" borderId="7" applyNumberFormat="0" applyFont="0" applyAlignment="0">
      <alignment horizontal="center" vertical="center"/>
    </xf>
    <xf numFmtId="195" fontId="19" fillId="0" borderId="0">
      <alignment vertical="center"/>
    </xf>
    <xf numFmtId="0" fontId="36" fillId="0" borderId="0" applyProtection="0">
      <alignment vertical="center"/>
    </xf>
    <xf numFmtId="0" fontId="22" fillId="6" borderId="7" applyNumberFormat="0" applyFont="0" applyAlignment="0">
      <alignment horizontal="center" vertical="center"/>
    </xf>
    <xf numFmtId="0" fontId="36" fillId="0" borderId="0" applyProtection="0">
      <alignment vertical="center"/>
    </xf>
    <xf numFmtId="178" fontId="5" fillId="0" borderId="5" applyProtection="0">
      <alignment horizontal="right" vertical="center" wrapText="1"/>
    </xf>
    <xf numFmtId="0" fontId="44" fillId="0" borderId="7">
      <alignment horizontal="left" vertical="center"/>
    </xf>
    <xf numFmtId="0" fontId="36" fillId="0" borderId="0" applyProtection="0">
      <alignment vertical="center"/>
    </xf>
    <xf numFmtId="0" fontId="36" fillId="0" borderId="0">
      <alignment vertical="center"/>
    </xf>
    <xf numFmtId="37" fontId="72"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5" fillId="0" borderId="5">
      <alignment horizontal="center" vertical="center" wrapText="1"/>
    </xf>
    <xf numFmtId="49" fontId="5" fillId="0" borderId="5">
      <alignment horizontal="center" vertical="center" wrapText="1"/>
    </xf>
    <xf numFmtId="0" fontId="36" fillId="0" borderId="0">
      <alignment vertical="center"/>
    </xf>
    <xf numFmtId="0" fontId="36" fillId="0" borderId="0">
      <alignment vertical="center"/>
    </xf>
    <xf numFmtId="0" fontId="57" fillId="0" borderId="0" applyNumberFormat="0" applyAlignment="0">
      <alignment horizontal="left" vertical="center"/>
    </xf>
    <xf numFmtId="0" fontId="36" fillId="0" borderId="0">
      <alignment vertical="center"/>
    </xf>
    <xf numFmtId="0" fontId="36" fillId="0" borderId="0">
      <alignmen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57" fillId="0" borderId="0" applyNumberFormat="0" applyAlignment="0">
      <alignment horizontal="left" vertical="center"/>
    </xf>
    <xf numFmtId="0" fontId="47" fillId="0" borderId="0">
      <alignmen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53" fillId="0" borderId="25">
      <alignment horizontal="center" vertical="center"/>
    </xf>
    <xf numFmtId="0" fontId="36" fillId="0" borderId="0">
      <alignmen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57" fillId="0" borderId="0" applyNumberFormat="0" applyAlignment="0">
      <alignment horizontal="left" vertical="center"/>
    </xf>
    <xf numFmtId="49" fontId="22" fillId="0" borderId="5">
      <alignment vertical="center" wrapText="1"/>
    </xf>
    <xf numFmtId="49" fontId="22" fillId="0" borderId="5">
      <alignmen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53" fillId="0" borderId="25">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36" fillId="0" borderId="0">
      <alignment vertical="center"/>
    </xf>
    <xf numFmtId="0" fontId="36" fillId="0" borderId="0">
      <alignment vertical="center"/>
    </xf>
    <xf numFmtId="0" fontId="49" fillId="20"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lignment vertical="center"/>
    </xf>
    <xf numFmtId="0" fontId="49" fillId="20" borderId="0" applyProtection="0">
      <alignment vertical="center"/>
    </xf>
    <xf numFmtId="0" fontId="36" fillId="0" borderId="0">
      <alignment vertical="center"/>
    </xf>
    <xf numFmtId="0" fontId="44" fillId="0" borderId="7">
      <alignment horizontal="left" vertical="center"/>
    </xf>
    <xf numFmtId="49" fontId="22" fillId="0" borderId="5" applyProtection="0">
      <alignment vertical="center" wrapText="1"/>
    </xf>
    <xf numFmtId="0" fontId="36" fillId="0" borderId="0">
      <alignment vertical="center"/>
    </xf>
    <xf numFmtId="189" fontId="48" fillId="0" borderId="0" applyFill="0" applyBorder="0" applyAlignment="0">
      <alignment vertical="center"/>
    </xf>
    <xf numFmtId="0" fontId="49" fillId="20" borderId="0" applyProtection="0">
      <alignment vertical="center"/>
    </xf>
    <xf numFmtId="0" fontId="36" fillId="0" borderId="0">
      <alignment vertical="center"/>
    </xf>
    <xf numFmtId="0" fontId="44" fillId="0" borderId="7">
      <alignment horizontal="left" vertical="center"/>
    </xf>
    <xf numFmtId="49" fontId="22" fillId="0" borderId="5" applyProtection="0">
      <alignment vertical="center" wrapText="1"/>
    </xf>
    <xf numFmtId="0" fontId="36" fillId="0" borderId="0">
      <alignment vertical="center"/>
    </xf>
    <xf numFmtId="0" fontId="44" fillId="0" borderId="7">
      <alignment horizontal="left" vertical="center"/>
    </xf>
    <xf numFmtId="49" fontId="22" fillId="0" borderId="5" applyProtection="0">
      <alignment vertical="center" wrapText="1"/>
    </xf>
    <xf numFmtId="0" fontId="47" fillId="0" borderId="0">
      <alignment vertical="center"/>
    </xf>
    <xf numFmtId="0" fontId="36" fillId="0" borderId="0">
      <alignment vertical="center"/>
    </xf>
    <xf numFmtId="189" fontId="48" fillId="0" borderId="0" applyFill="0" applyBorder="0" applyAlignment="0">
      <alignment vertical="center"/>
    </xf>
    <xf numFmtId="0" fontId="61" fillId="20" borderId="0" applyNumberFormat="0" applyBorder="0" applyAlignment="0" applyProtection="0">
      <alignment vertical="center"/>
    </xf>
    <xf numFmtId="0" fontId="36" fillId="0" borderId="0">
      <alignment vertical="center"/>
    </xf>
    <xf numFmtId="0" fontId="47" fillId="0" borderId="0">
      <alignment vertical="center"/>
    </xf>
    <xf numFmtId="0" fontId="36" fillId="0" borderId="0">
      <alignment vertical="center"/>
    </xf>
    <xf numFmtId="49" fontId="5" fillId="0" borderId="5" applyProtection="0">
      <alignment horizontal="center" vertical="center" wrapText="1"/>
    </xf>
    <xf numFmtId="202" fontId="64" fillId="0" borderId="0">
      <alignment horizontal="right" vertical="top"/>
    </xf>
    <xf numFmtId="0" fontId="36" fillId="0" borderId="0">
      <alignment vertical="center"/>
    </xf>
    <xf numFmtId="49" fontId="5" fillId="0" borderId="5" applyProtection="0">
      <alignment horizontal="center"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0" fontId="43" fillId="7" borderId="3">
      <alignment vertical="center"/>
      <protection locked="0"/>
    </xf>
    <xf numFmtId="49" fontId="5" fillId="0" borderId="5" applyProtection="0">
      <alignment horizontal="center" vertical="center" wrapText="1"/>
    </xf>
    <xf numFmtId="0" fontId="49" fillId="31"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6" fillId="0" borderId="0">
      <alignment vertical="center"/>
    </xf>
    <xf numFmtId="49" fontId="5" fillId="0" borderId="5" applyProtection="0">
      <alignment horizontal="center" vertical="center" wrapText="1"/>
    </xf>
    <xf numFmtId="0" fontId="49" fillId="31" borderId="0" applyNumberFormat="0" applyBorder="0" applyAlignment="0" applyProtection="0">
      <alignment vertical="center"/>
    </xf>
    <xf numFmtId="0" fontId="36" fillId="0" borderId="0">
      <alignment vertical="center"/>
    </xf>
    <xf numFmtId="49" fontId="5"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49" fontId="5" fillId="0" borderId="5" applyProtection="0">
      <alignment horizontal="center" vertical="center" wrapText="1"/>
    </xf>
    <xf numFmtId="0" fontId="36" fillId="0" borderId="0">
      <alignment vertical="center"/>
    </xf>
    <xf numFmtId="0" fontId="36" fillId="0" borderId="0">
      <alignment vertical="center"/>
    </xf>
    <xf numFmtId="0" fontId="61" fillId="14" borderId="0"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40" fillId="0" borderId="0">
      <alignment horizontal="center" vertical="center" wrapText="1"/>
      <protection locked="0"/>
    </xf>
    <xf numFmtId="181" fontId="5" fillId="0" borderId="5" applyProtection="0">
      <alignment horizontal="right" vertical="center" wrapText="1"/>
    </xf>
    <xf numFmtId="0" fontId="36" fillId="0" borderId="0">
      <alignment vertical="center"/>
    </xf>
    <xf numFmtId="49" fontId="5" fillId="0" borderId="5">
      <alignment horizontal="center" vertical="center" wrapText="1"/>
    </xf>
    <xf numFmtId="0" fontId="36" fillId="0" borderId="0">
      <alignment vertical="center"/>
    </xf>
    <xf numFmtId="49" fontId="5" fillId="0" borderId="5">
      <alignment horizontal="center" vertical="center" wrapText="1"/>
    </xf>
    <xf numFmtId="189" fontId="48" fillId="0" borderId="0" applyFill="0" applyBorder="0" applyAlignment="0">
      <alignment vertical="center"/>
    </xf>
    <xf numFmtId="0" fontId="36" fillId="0" borderId="0">
      <alignment vertical="center"/>
    </xf>
    <xf numFmtId="0" fontId="36" fillId="0" borderId="0">
      <alignment vertical="center"/>
    </xf>
    <xf numFmtId="0" fontId="36" fillId="0" borderId="0">
      <alignment vertical="center"/>
    </xf>
    <xf numFmtId="49" fontId="5" fillId="0" borderId="5">
      <alignment horizontal="center" vertical="center" wrapText="1"/>
    </xf>
    <xf numFmtId="0" fontId="36" fillId="0" borderId="0" applyProtection="0">
      <alignment vertical="center"/>
    </xf>
    <xf numFmtId="0" fontId="36" fillId="0" borderId="0" applyProtection="0">
      <alignment vertical="center"/>
    </xf>
    <xf numFmtId="178" fontId="5" fillId="0" borderId="5">
      <alignment horizontal="right" vertical="center" wrapText="1"/>
    </xf>
    <xf numFmtId="0" fontId="36"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xf numFmtId="178" fontId="5" fillId="0" borderId="5">
      <alignment horizontal="right" vertical="center" wrapText="1"/>
    </xf>
    <xf numFmtId="0" fontId="36" fillId="0" borderId="0" applyProtection="0">
      <alignment vertical="center"/>
    </xf>
    <xf numFmtId="0" fontId="36" fillId="0" borderId="0"/>
    <xf numFmtId="49" fontId="22" fillId="0" borderId="5" applyProtection="0">
      <alignment horizontal="center" vertical="center" wrapText="1"/>
    </xf>
    <xf numFmtId="49" fontId="22" fillId="0" borderId="5" applyProtection="0">
      <alignment horizontal="center" vertical="center" wrapText="1"/>
    </xf>
    <xf numFmtId="0" fontId="36" fillId="0" borderId="0"/>
    <xf numFmtId="0" fontId="36" fillId="0" borderId="0" applyProtection="0">
      <alignment vertical="center"/>
    </xf>
    <xf numFmtId="181" fontId="5" fillId="0" borderId="5">
      <alignment horizontal="right" vertical="center" wrapText="1"/>
    </xf>
    <xf numFmtId="181" fontId="5" fillId="0" borderId="5">
      <alignment horizontal="right" vertical="center" wrapText="1"/>
    </xf>
    <xf numFmtId="0" fontId="24" fillId="16" borderId="0" applyProtection="0">
      <alignment vertical="center"/>
    </xf>
    <xf numFmtId="0" fontId="36" fillId="0" borderId="0" applyProtection="0">
      <alignment vertical="center"/>
    </xf>
    <xf numFmtId="181" fontId="5" fillId="0" borderId="5">
      <alignment horizontal="right" vertical="center" wrapText="1"/>
    </xf>
    <xf numFmtId="181" fontId="5" fillId="0" borderId="5">
      <alignment horizontal="right" vertical="center" wrapText="1"/>
    </xf>
    <xf numFmtId="0" fontId="36" fillId="0" borderId="0" applyProtection="0"/>
    <xf numFmtId="0" fontId="36" fillId="0" borderId="0" applyProtection="0">
      <alignment vertical="center"/>
    </xf>
    <xf numFmtId="0" fontId="36" fillId="0" borderId="0" applyProtection="0"/>
    <xf numFmtId="0" fontId="36" fillId="0" borderId="0" applyProtection="0">
      <alignment vertical="center"/>
    </xf>
    <xf numFmtId="0" fontId="36" fillId="0" borderId="0" applyProtection="0"/>
    <xf numFmtId="0" fontId="36" fillId="0" borderId="0" applyProtection="0">
      <alignment vertical="center"/>
    </xf>
    <xf numFmtId="0" fontId="36" fillId="0" borderId="0"/>
    <xf numFmtId="0" fontId="44" fillId="0" borderId="7">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0" fontId="36" fillId="0" borderId="0" applyProtection="0"/>
    <xf numFmtId="49" fontId="22" fillId="0" borderId="5">
      <alignment horizontal="center" vertical="center" wrapText="1"/>
    </xf>
    <xf numFmtId="0" fontId="36" fillId="0" borderId="0"/>
    <xf numFmtId="178" fontId="5" fillId="0" borderId="5">
      <alignment horizontal="right" vertical="center" wrapText="1"/>
    </xf>
    <xf numFmtId="0" fontId="36" fillId="0" borderId="0" applyProtection="0"/>
    <xf numFmtId="188" fontId="19" fillId="0" borderId="0">
      <alignment vertical="center"/>
    </xf>
    <xf numFmtId="180" fontId="65" fillId="19" borderId="0"/>
    <xf numFmtId="0" fontId="36" fillId="0" borderId="0" applyProtection="0"/>
    <xf numFmtId="188" fontId="19" fillId="0" borderId="0">
      <alignment vertical="center"/>
    </xf>
    <xf numFmtId="180" fontId="65" fillId="19" borderId="0"/>
    <xf numFmtId="0" fontId="36" fillId="0" borderId="0" applyProtection="0"/>
    <xf numFmtId="0" fontId="36" fillId="0" borderId="0" applyProtection="0"/>
    <xf numFmtId="0" fontId="36" fillId="0" borderId="0" applyProtection="0"/>
    <xf numFmtId="0" fontId="36" fillId="0" borderId="0"/>
    <xf numFmtId="0" fontId="22" fillId="6" borderId="7"/>
    <xf numFmtId="0" fontId="44" fillId="0" borderId="7">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0" fontId="36" fillId="0" borderId="0"/>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95" fontId="19" fillId="0" borderId="0">
      <alignment vertical="center"/>
    </xf>
    <xf numFmtId="0" fontId="44" fillId="0" borderId="7">
      <alignment horizontal="left" vertical="center"/>
    </xf>
    <xf numFmtId="0" fontId="36" fillId="0" borderId="0"/>
    <xf numFmtId="49" fontId="5" fillId="0" borderId="5" applyProtection="0">
      <alignment horizontal="center" vertical="center" wrapText="1"/>
    </xf>
    <xf numFmtId="49" fontId="5" fillId="0" borderId="5" applyProtection="0">
      <alignment horizontal="center" vertical="center" wrapText="1"/>
    </xf>
    <xf numFmtId="195" fontId="19" fillId="0" borderId="0">
      <alignment vertical="center"/>
    </xf>
    <xf numFmtId="195" fontId="19" fillId="0" borderId="0">
      <alignment vertical="center"/>
    </xf>
    <xf numFmtId="0" fontId="36" fillId="0" borderId="0"/>
    <xf numFmtId="49" fontId="5" fillId="0" borderId="5" applyProtection="0">
      <alignment horizontal="center" vertical="center" wrapText="1"/>
    </xf>
    <xf numFmtId="49" fontId="5" fillId="0" borderId="5" applyProtection="0">
      <alignment horizontal="center" vertical="center" wrapText="1"/>
    </xf>
    <xf numFmtId="0" fontId="36" fillId="0" borderId="0"/>
    <xf numFmtId="0" fontId="64" fillId="0" borderId="0">
      <alignment horizontal="center" vertical="top"/>
    </xf>
    <xf numFmtId="178" fontId="5" fillId="0" borderId="5">
      <alignment horizontal="right" vertical="center" wrapText="1"/>
    </xf>
    <xf numFmtId="195" fontId="19" fillId="0" borderId="0"/>
    <xf numFmtId="195" fontId="19" fillId="0" borderId="0"/>
    <xf numFmtId="0" fontId="22" fillId="6" borderId="7" applyNumberFormat="0" applyFont="0" applyAlignment="0">
      <alignment horizontal="center" vertical="center"/>
    </xf>
    <xf numFmtId="0" fontId="36" fillId="0" borderId="0"/>
    <xf numFmtId="49" fontId="22" fillId="0" borderId="5">
      <alignment horizontal="center" vertical="center" wrapText="1"/>
    </xf>
    <xf numFmtId="0" fontId="22" fillId="6" borderId="7" applyNumberFormat="0" applyFont="0" applyAlignment="0">
      <alignment horizontal="center" vertical="center"/>
    </xf>
    <xf numFmtId="0" fontId="36" fillId="0" borderId="0" applyProtection="0">
      <alignment vertical="center"/>
    </xf>
    <xf numFmtId="49" fontId="22" fillId="0" borderId="5">
      <alignment horizontal="center" vertical="center" wrapText="1"/>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53" fillId="0" borderId="0">
      <alignment horizontal="center" vertical="center"/>
    </xf>
    <xf numFmtId="0" fontId="36" fillId="0" borderId="0" applyProtection="0">
      <alignment vertical="center"/>
    </xf>
    <xf numFmtId="0" fontId="22" fillId="6" borderId="7" applyNumberFormat="0" applyFont="0" applyAlignment="0">
      <alignment horizontal="center" vertical="center"/>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6" fillId="0" borderId="0">
      <alignment vertical="center"/>
    </xf>
    <xf numFmtId="0" fontId="48" fillId="0" borderId="0"/>
    <xf numFmtId="0" fontId="36" fillId="0" borderId="0">
      <alignment vertical="center"/>
    </xf>
    <xf numFmtId="0" fontId="36" fillId="0" borderId="0"/>
    <xf numFmtId="0" fontId="36" fillId="0" borderId="0"/>
    <xf numFmtId="0" fontId="47" fillId="0" borderId="0">
      <alignment vertical="center"/>
      <protection locked="0"/>
    </xf>
    <xf numFmtId="0" fontId="36" fillId="0" borderId="0"/>
    <xf numFmtId="0" fontId="47" fillId="0" borderId="0">
      <alignment vertical="center"/>
      <protection locked="0"/>
    </xf>
    <xf numFmtId="0" fontId="36" fillId="0" borderId="0"/>
    <xf numFmtId="0" fontId="53" fillId="0" borderId="25">
      <alignment horizontal="center" vertical="center"/>
    </xf>
    <xf numFmtId="0" fontId="36" fillId="0" borderId="0">
      <alignment vertical="center"/>
    </xf>
    <xf numFmtId="0" fontId="48" fillId="0" borderId="0" applyNumberFormat="0" applyFill="0" applyBorder="0" applyAlignment="0" applyProtection="0">
      <alignment horizontal="left" vertical="center"/>
    </xf>
    <xf numFmtId="181" fontId="5" fillId="0" borderId="5" applyProtection="0">
      <alignment horizontal="right" vertical="center" wrapText="1"/>
    </xf>
    <xf numFmtId="181" fontId="5" fillId="0" borderId="5" applyProtection="0">
      <alignment horizontal="right" vertical="center" wrapText="1"/>
    </xf>
    <xf numFmtId="0" fontId="36" fillId="0" borderId="0">
      <alignment vertical="center"/>
    </xf>
    <xf numFmtId="0" fontId="53" fillId="0" borderId="25">
      <alignment horizontal="center"/>
    </xf>
    <xf numFmtId="0" fontId="53" fillId="0" borderId="25">
      <alignment horizontal="center"/>
    </xf>
    <xf numFmtId="0" fontId="36" fillId="0" borderId="0">
      <alignment vertical="center"/>
    </xf>
    <xf numFmtId="0" fontId="22" fillId="6" borderId="7"/>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0" fontId="36" fillId="0" borderId="0">
      <alignment vertical="center"/>
    </xf>
    <xf numFmtId="0" fontId="48" fillId="0" borderId="4" applyNumberFormat="0" applyFill="0" applyProtection="0">
      <alignment horizontal="right" vertical="center"/>
    </xf>
    <xf numFmtId="0" fontId="48" fillId="0" borderId="4">
      <alignment horizontal="right"/>
    </xf>
    <xf numFmtId="178" fontId="22" fillId="0" borderId="5">
      <alignment horizontal="right" vertical="center" wrapText="1"/>
    </xf>
    <xf numFmtId="0" fontId="57" fillId="0" borderId="0"/>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0" fontId="36" fillId="0" borderId="0" applyProtection="0">
      <alignment vertical="center"/>
    </xf>
    <xf numFmtId="49" fontId="5" fillId="0" borderId="5">
      <alignment vertical="center" wrapText="1"/>
    </xf>
    <xf numFmtId="49" fontId="5" fillId="0" borderId="5">
      <alignment vertical="center" wrapText="1"/>
    </xf>
    <xf numFmtId="0" fontId="44" fillId="0" borderId="7">
      <alignment horizontal="left" vertical="center"/>
    </xf>
    <xf numFmtId="0" fontId="57" fillId="0" borderId="0"/>
    <xf numFmtId="49" fontId="5" fillId="0" borderId="5" applyProtection="0">
      <alignment horizontal="center" vertical="center" wrapText="1"/>
    </xf>
    <xf numFmtId="49" fontId="5" fillId="0" borderId="5" applyProtection="0">
      <alignment horizontal="center" vertical="center" wrapText="1"/>
    </xf>
    <xf numFmtId="0" fontId="36" fillId="0" borderId="0"/>
    <xf numFmtId="0" fontId="44" fillId="0" borderId="7">
      <alignment horizontal="left" vertical="center"/>
    </xf>
    <xf numFmtId="0" fontId="57" fillId="0" borderId="0"/>
    <xf numFmtId="49" fontId="5" fillId="0" borderId="5" applyProtection="0">
      <alignment horizontal="center" vertical="center" wrapText="1"/>
    </xf>
    <xf numFmtId="49" fontId="5" fillId="0" borderId="5" applyProtection="0">
      <alignment horizontal="center" vertical="center" wrapText="1"/>
    </xf>
    <xf numFmtId="0" fontId="36" fillId="0" borderId="0" applyProtection="0">
      <alignment vertical="center"/>
    </xf>
    <xf numFmtId="0" fontId="44" fillId="0" borderId="7">
      <alignment horizontal="left" vertical="center"/>
    </xf>
    <xf numFmtId="0" fontId="57" fillId="0" borderId="0"/>
    <xf numFmtId="0" fontId="36" fillId="0" borderId="0"/>
    <xf numFmtId="0" fontId="44" fillId="0" borderId="7">
      <alignment horizontal="left" vertical="center"/>
    </xf>
    <xf numFmtId="0" fontId="57" fillId="0" borderId="0"/>
    <xf numFmtId="0" fontId="36" fillId="0" borderId="0"/>
    <xf numFmtId="0" fontId="44" fillId="0" borderId="7">
      <alignment horizontal="left" vertical="center"/>
    </xf>
    <xf numFmtId="0" fontId="57" fillId="0" borderId="0"/>
    <xf numFmtId="0" fontId="36" fillId="0" borderId="0"/>
    <xf numFmtId="0" fontId="36" fillId="0" borderId="0" applyProtection="0">
      <alignment vertical="center"/>
    </xf>
    <xf numFmtId="0" fontId="36" fillId="0" borderId="0" applyProtection="0">
      <alignment vertical="center"/>
    </xf>
    <xf numFmtId="0" fontId="36" fillId="0" borderId="0" applyProtection="0">
      <alignment vertical="center"/>
    </xf>
    <xf numFmtId="0" fontId="44" fillId="0" borderId="7">
      <alignment horizontal="lef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49" fontId="22" fillId="0" borderId="5">
      <alignment vertical="center" wrapText="1"/>
    </xf>
    <xf numFmtId="0" fontId="36" fillId="0" borderId="0" applyProtection="0">
      <alignment vertical="center"/>
    </xf>
    <xf numFmtId="0" fontId="36" fillId="0" borderId="0" applyProtection="0">
      <alignment vertical="center"/>
    </xf>
    <xf numFmtId="49" fontId="22" fillId="0" borderId="5">
      <alignment vertical="center" wrapText="1"/>
    </xf>
    <xf numFmtId="0" fontId="44" fillId="0" borderId="7">
      <alignment horizontal="left" vertical="center"/>
    </xf>
    <xf numFmtId="0" fontId="36" fillId="0" borderId="0" applyProtection="0"/>
    <xf numFmtId="0" fontId="36" fillId="0" borderId="0" applyProtection="0">
      <alignment vertical="center"/>
    </xf>
    <xf numFmtId="0" fontId="44" fillId="0" borderId="7">
      <alignment horizontal="left" vertical="center"/>
    </xf>
    <xf numFmtId="0" fontId="36" fillId="0" borderId="0" applyProtection="0"/>
    <xf numFmtId="0" fontId="36" fillId="0" borderId="0" applyProtection="0">
      <alignment vertical="center"/>
    </xf>
    <xf numFmtId="49" fontId="22" fillId="0" borderId="5" applyProtection="0">
      <alignment vertical="center" wrapText="1"/>
    </xf>
    <xf numFmtId="49" fontId="22" fillId="0" borderId="5" applyProtection="0">
      <alignment vertical="center" wrapText="1"/>
    </xf>
    <xf numFmtId="0" fontId="36" fillId="0" borderId="0" applyProtection="0"/>
    <xf numFmtId="0" fontId="36" fillId="0" borderId="0" applyProtection="0">
      <alignment vertical="center"/>
    </xf>
    <xf numFmtId="0" fontId="36" fillId="0" borderId="0"/>
    <xf numFmtId="0" fontId="36" fillId="0" borderId="0"/>
    <xf numFmtId="0" fontId="36" fillId="0" borderId="0"/>
    <xf numFmtId="0" fontId="36" fillId="0" borderId="0"/>
    <xf numFmtId="0" fontId="36" fillId="0" borderId="0"/>
    <xf numFmtId="0" fontId="56" fillId="0" borderId="25">
      <alignment horizontal="center" vertical="center"/>
    </xf>
    <xf numFmtId="0" fontId="36" fillId="0" borderId="0" applyProtection="0"/>
    <xf numFmtId="0" fontId="36" fillId="0" borderId="0" applyProtection="0"/>
    <xf numFmtId="0" fontId="36" fillId="0" borderId="0" applyProtection="0"/>
    <xf numFmtId="0" fontId="36" fillId="0" borderId="0" applyProtection="0"/>
    <xf numFmtId="0" fontId="36" fillId="0" borderId="0" applyProtection="0"/>
    <xf numFmtId="0" fontId="36" fillId="0" borderId="0"/>
    <xf numFmtId="0" fontId="36" fillId="0" borderId="0"/>
    <xf numFmtId="49" fontId="5" fillId="0" borderId="5" applyProtection="0">
      <alignment horizontal="center" vertical="center" wrapText="1"/>
    </xf>
    <xf numFmtId="0" fontId="36" fillId="0" borderId="0"/>
    <xf numFmtId="0" fontId="36" fillId="0" borderId="0"/>
    <xf numFmtId="49" fontId="5" fillId="0" borderId="5" applyProtection="0">
      <alignment horizontal="center" vertical="center" wrapText="1"/>
    </xf>
    <xf numFmtId="0" fontId="36" fillId="0" borderId="0"/>
    <xf numFmtId="0" fontId="56" fillId="0" borderId="25">
      <alignment horizontal="center" vertical="center"/>
    </xf>
    <xf numFmtId="0" fontId="40" fillId="0" borderId="0">
      <alignment horizontal="center" vertical="center" wrapText="1"/>
      <protection locked="0"/>
    </xf>
    <xf numFmtId="49" fontId="22" fillId="0" borderId="5" applyProtection="0">
      <alignment vertical="center" wrapText="1"/>
    </xf>
    <xf numFmtId="0" fontId="36" fillId="0" borderId="0"/>
    <xf numFmtId="0" fontId="56" fillId="0" borderId="25">
      <alignment horizontal="center" vertical="center"/>
    </xf>
    <xf numFmtId="0" fontId="40" fillId="0" borderId="0">
      <alignment horizontal="center" vertical="center" wrapText="1"/>
      <protection locked="0"/>
    </xf>
    <xf numFmtId="49" fontId="22" fillId="0" borderId="5" applyProtection="0">
      <alignment vertical="center" wrapText="1"/>
    </xf>
    <xf numFmtId="0" fontId="36" fillId="0" borderId="0"/>
    <xf numFmtId="0" fontId="36" fillId="0" borderId="0"/>
    <xf numFmtId="0" fontId="36" fillId="0" borderId="0"/>
    <xf numFmtId="0" fontId="36" fillId="0" borderId="0"/>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0" fontId="36" fillId="0" borderId="0" applyProtection="0">
      <alignment vertical="center"/>
    </xf>
    <xf numFmtId="49" fontId="22" fillId="0" borderId="5">
      <alignment vertical="center" wrapText="1"/>
    </xf>
    <xf numFmtId="0" fontId="36" fillId="0" borderId="0" applyProtection="0">
      <alignment vertical="center"/>
    </xf>
    <xf numFmtId="0" fontId="22" fillId="6" borderId="7"/>
    <xf numFmtId="0" fontId="36" fillId="0" borderId="0" applyProtection="0">
      <alignment vertical="center"/>
    </xf>
    <xf numFmtId="49" fontId="22" fillId="0" borderId="5">
      <alignment vertical="center" wrapText="1"/>
    </xf>
    <xf numFmtId="0" fontId="41" fillId="0" borderId="0" applyNumberFormat="0" applyAlignment="0">
      <alignment horizontal="left" vertical="center"/>
    </xf>
    <xf numFmtId="0" fontId="41" fillId="0" borderId="0" applyNumberFormat="0" applyAlignment="0">
      <alignment horizontal="left" vertical="center"/>
    </xf>
    <xf numFmtId="0" fontId="36" fillId="0" borderId="0" applyProtection="0">
      <alignment vertical="center"/>
    </xf>
    <xf numFmtId="0" fontId="22" fillId="0" borderId="0"/>
    <xf numFmtId="0" fontId="36" fillId="0" borderId="0" applyProtection="0">
      <alignment vertical="center"/>
    </xf>
    <xf numFmtId="0" fontId="44" fillId="0" borderId="7">
      <alignment horizontal="left" vertical="center"/>
    </xf>
    <xf numFmtId="0" fontId="22" fillId="0" borderId="0"/>
    <xf numFmtId="181"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lignment vertical="center"/>
    </xf>
    <xf numFmtId="0" fontId="47" fillId="0" borderId="0"/>
    <xf numFmtId="0" fontId="41" fillId="0" borderId="0"/>
    <xf numFmtId="0" fontId="49" fillId="30" borderId="0" applyProtection="0">
      <alignment vertical="center"/>
    </xf>
    <xf numFmtId="0" fontId="47" fillId="0" borderId="0">
      <alignment vertical="center"/>
    </xf>
    <xf numFmtId="181" fontId="22" fillId="0" borderId="5">
      <alignment horizontal="right" vertical="center" wrapText="1"/>
    </xf>
    <xf numFmtId="0" fontId="36" fillId="0" borderId="0">
      <alignment vertical="center"/>
    </xf>
    <xf numFmtId="0" fontId="47" fillId="0" borderId="0">
      <alignment vertical="center"/>
    </xf>
    <xf numFmtId="15" fontId="46" fillId="0" borderId="0"/>
    <xf numFmtId="0" fontId="47"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47"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0" fontId="47" fillId="0" borderId="0">
      <alignment vertical="center"/>
    </xf>
    <xf numFmtId="49" fontId="22" fillId="0" borderId="5">
      <alignment vertical="center" wrapText="1"/>
    </xf>
    <xf numFmtId="49" fontId="22" fillId="0" borderId="5">
      <alignment vertical="center" wrapText="1"/>
    </xf>
    <xf numFmtId="0" fontId="53" fillId="0" borderId="0">
      <alignment horizontal="center" vertical="center"/>
    </xf>
    <xf numFmtId="0" fontId="22" fillId="6" borderId="7"/>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47" fillId="0" borderId="0">
      <alignment vertical="center"/>
    </xf>
    <xf numFmtId="0" fontId="22" fillId="6" borderId="7" applyNumberFormat="0" applyFont="0" applyAlignment="0">
      <alignment horizontal="center" vertical="center"/>
    </xf>
    <xf numFmtId="185" fontId="55" fillId="0" borderId="0" applyBorder="0">
      <alignment horizontal="right" vertical="top"/>
    </xf>
    <xf numFmtId="37" fontId="72" fillId="0" borderId="0">
      <alignment vertical="center"/>
    </xf>
    <xf numFmtId="178" fontId="5" fillId="0" borderId="5" applyProtection="0">
      <alignment horizontal="right" vertical="center" wrapText="1"/>
    </xf>
    <xf numFmtId="0" fontId="47" fillId="0" borderId="0">
      <alignment vertical="center"/>
    </xf>
    <xf numFmtId="0" fontId="47" fillId="0" borderId="0">
      <alignment vertical="center"/>
    </xf>
    <xf numFmtId="0" fontId="22" fillId="6" borderId="7" applyNumberFormat="0" applyFont="0" applyAlignment="0">
      <alignment horizontal="center" vertical="center"/>
    </xf>
    <xf numFmtId="0" fontId="53" fillId="0" borderId="25">
      <alignment horizontal="center"/>
    </xf>
    <xf numFmtId="0" fontId="47" fillId="0" borderId="0">
      <alignment vertical="center"/>
    </xf>
    <xf numFmtId="0" fontId="53" fillId="0" borderId="25">
      <alignment horizontal="center"/>
    </xf>
    <xf numFmtId="0" fontId="47" fillId="0" borderId="0">
      <alignment vertical="center"/>
      <protection locked="0"/>
    </xf>
    <xf numFmtId="0" fontId="47" fillId="0" borderId="0">
      <alignment vertical="center"/>
    </xf>
    <xf numFmtId="0" fontId="22" fillId="6" borderId="7" applyNumberFormat="0" applyFont="0" applyAlignment="0">
      <alignment horizontal="center" vertical="center"/>
    </xf>
    <xf numFmtId="0" fontId="47" fillId="0" borderId="0">
      <alignment vertical="center"/>
    </xf>
    <xf numFmtId="0" fontId="47" fillId="0" borderId="0">
      <alignment vertical="center"/>
    </xf>
    <xf numFmtId="0" fontId="22" fillId="6" borderId="7" applyNumberFormat="0" applyFont="0" applyAlignment="0">
      <alignment horizontal="center" vertical="center"/>
    </xf>
    <xf numFmtId="0" fontId="47" fillId="0" borderId="0">
      <alignment vertical="center"/>
    </xf>
    <xf numFmtId="4" fontId="24" fillId="0" borderId="0">
      <alignment vertical="center"/>
    </xf>
    <xf numFmtId="0" fontId="22" fillId="6" borderId="7" applyNumberFormat="0" applyFont="0" applyAlignment="0">
      <alignment horizontal="center" vertical="center"/>
    </xf>
    <xf numFmtId="0" fontId="47" fillId="0" borderId="0">
      <alignment vertical="center"/>
    </xf>
    <xf numFmtId="0" fontId="47" fillId="0" borderId="0">
      <alignment vertical="center"/>
    </xf>
    <xf numFmtId="0" fontId="47" fillId="0" borderId="0">
      <alignment vertical="center"/>
    </xf>
    <xf numFmtId="4" fontId="22"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49" fontId="22" fillId="0" borderId="5">
      <alignment horizontal="center" vertical="center" wrapText="1"/>
    </xf>
    <xf numFmtId="49" fontId="22" fillId="0" borderId="5">
      <alignment horizontal="center" vertical="center" wrapText="1"/>
    </xf>
    <xf numFmtId="0" fontId="47" fillId="0" borderId="0">
      <alignment vertical="center"/>
    </xf>
    <xf numFmtId="49" fontId="22" fillId="0" borderId="5">
      <alignment horizontal="center" vertical="center" wrapText="1"/>
    </xf>
    <xf numFmtId="49" fontId="22" fillId="0" borderId="5">
      <alignment horizontal="center" vertical="center" wrapText="1"/>
    </xf>
    <xf numFmtId="0" fontId="47" fillId="0" borderId="0">
      <alignment vertical="center"/>
    </xf>
    <xf numFmtId="49" fontId="22" fillId="0" borderId="5">
      <alignment horizontal="center" vertical="center" wrapText="1"/>
    </xf>
    <xf numFmtId="49" fontId="22" fillId="0" borderId="5">
      <alignment horizontal="center" vertical="center" wrapText="1"/>
    </xf>
    <xf numFmtId="0" fontId="47" fillId="0" borderId="0">
      <alignment vertical="center"/>
    </xf>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47" fillId="0" borderId="0"/>
    <xf numFmtId="0" fontId="47" fillId="0" borderId="0">
      <alignment vertical="center"/>
    </xf>
    <xf numFmtId="0" fontId="43" fillId="7" borderId="3">
      <alignment vertical="center"/>
      <protection locked="0"/>
    </xf>
    <xf numFmtId="181" fontId="22" fillId="0" borderId="5">
      <alignment horizontal="right" vertical="center" wrapText="1"/>
    </xf>
    <xf numFmtId="181" fontId="22" fillId="0" borderId="5">
      <alignment horizontal="right" vertical="center" wrapText="1"/>
    </xf>
    <xf numFmtId="0" fontId="47" fillId="0" borderId="0">
      <alignment vertical="center"/>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9" fontId="22" fillId="0" borderId="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pplyProtection="0">
      <alignment vertical="center"/>
    </xf>
    <xf numFmtId="0" fontId="45" fillId="6" borderId="7" applyNumberFormat="0" applyFont="0" applyAlignment="0">
      <alignment horizontal="center"/>
    </xf>
    <xf numFmtId="49" fontId="22" fillId="0" borderId="5" applyProtection="0">
      <alignment horizontal="center" vertical="center" wrapText="1"/>
    </xf>
    <xf numFmtId="0" fontId="47" fillId="0" borderId="0" applyProtection="0">
      <alignment vertical="center"/>
    </xf>
    <xf numFmtId="0" fontId="24" fillId="13" borderId="0" applyNumberFormat="0" applyBorder="0" applyAlignment="0" applyProtection="0">
      <alignment vertical="center"/>
    </xf>
    <xf numFmtId="0" fontId="47" fillId="0" borderId="0" applyProtection="0">
      <alignment vertical="center"/>
    </xf>
    <xf numFmtId="0" fontId="47" fillId="0" borderId="0" applyProtection="0">
      <alignment vertical="center"/>
    </xf>
    <xf numFmtId="0" fontId="47" fillId="0" borderId="0"/>
    <xf numFmtId="0" fontId="47" fillId="0" borderId="0" applyProtection="0">
      <alignment vertical="center"/>
    </xf>
    <xf numFmtId="0" fontId="47" fillId="0" borderId="0"/>
    <xf numFmtId="0" fontId="24" fillId="9" borderId="0" applyProtection="0">
      <alignment vertical="center"/>
    </xf>
    <xf numFmtId="0" fontId="47" fillId="0" borderId="0"/>
    <xf numFmtId="0" fontId="47" fillId="0" borderId="0" applyProtection="0">
      <alignment vertical="center"/>
    </xf>
    <xf numFmtId="0" fontId="24" fillId="14" borderId="0"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0" fontId="24" fillId="9" borderId="0"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22" fillId="5" borderId="36" applyProtection="0">
      <alignment vertical="center"/>
    </xf>
    <xf numFmtId="0" fontId="47" fillId="0" borderId="0" applyProtection="0">
      <alignment vertical="center"/>
    </xf>
    <xf numFmtId="0" fontId="22" fillId="5" borderId="36" applyProtection="0">
      <alignment vertical="center"/>
    </xf>
    <xf numFmtId="0" fontId="47" fillId="0" borderId="0" applyProtection="0">
      <alignment vertical="center"/>
    </xf>
    <xf numFmtId="0" fontId="24" fillId="9" borderId="0" applyProtection="0">
      <alignment vertical="center"/>
    </xf>
    <xf numFmtId="0" fontId="47" fillId="0" borderId="0" applyProtection="0">
      <alignment vertical="center"/>
    </xf>
    <xf numFmtId="0" fontId="47" fillId="0" borderId="0" applyProtection="0">
      <alignment vertical="center"/>
    </xf>
    <xf numFmtId="0" fontId="22" fillId="5" borderId="36" applyProtection="0">
      <alignment vertical="center"/>
    </xf>
    <xf numFmtId="0" fontId="47" fillId="0" borderId="0" applyProtection="0">
      <alignment vertical="center"/>
    </xf>
    <xf numFmtId="0" fontId="47" fillId="0" borderId="0" applyProtection="0">
      <alignment vertical="center"/>
    </xf>
    <xf numFmtId="0" fontId="22" fillId="5" borderId="36" applyProtection="0">
      <alignment vertical="center"/>
    </xf>
    <xf numFmtId="0" fontId="47" fillId="0" borderId="0" applyProtection="0">
      <alignment vertical="center"/>
    </xf>
    <xf numFmtId="0" fontId="47" fillId="0" borderId="0" applyProtection="0">
      <alignment vertical="center"/>
    </xf>
    <xf numFmtId="0" fontId="109" fillId="0" borderId="0">
      <alignment vertical="center"/>
    </xf>
    <xf numFmtId="0" fontId="24" fillId="9" borderId="0" applyProtection="0">
      <alignment vertical="center"/>
    </xf>
    <xf numFmtId="0" fontId="47" fillId="0" borderId="0" applyProtection="0"/>
    <xf numFmtId="0" fontId="47" fillId="0" borderId="0" applyProtection="0">
      <alignment vertical="center"/>
    </xf>
    <xf numFmtId="0" fontId="109" fillId="0" borderId="0">
      <alignment vertical="center"/>
    </xf>
    <xf numFmtId="0" fontId="24" fillId="29" borderId="0" applyNumberFormat="0" applyBorder="0" applyAlignment="0" applyProtection="0">
      <alignment vertical="center"/>
    </xf>
    <xf numFmtId="0" fontId="47" fillId="0" borderId="0" applyProtection="0"/>
    <xf numFmtId="0" fontId="47" fillId="0" borderId="0" applyProtection="0">
      <alignment vertical="center"/>
    </xf>
    <xf numFmtId="0" fontId="24" fillId="29" borderId="0" applyNumberFormat="0" applyBorder="0" applyAlignment="0" applyProtection="0">
      <alignment vertical="center"/>
    </xf>
    <xf numFmtId="0" fontId="47" fillId="0" borderId="0" applyProtection="0"/>
    <xf numFmtId="0" fontId="47" fillId="0" borderId="0" applyProtection="0">
      <alignment vertical="center"/>
    </xf>
    <xf numFmtId="0" fontId="47" fillId="0" borderId="0" applyProtection="0">
      <alignment vertical="center"/>
    </xf>
    <xf numFmtId="0" fontId="47" fillId="0" borderId="0"/>
    <xf numFmtId="0" fontId="47" fillId="0" borderId="0"/>
    <xf numFmtId="0" fontId="47" fillId="0" borderId="0"/>
    <xf numFmtId="0" fontId="47" fillId="0" borderId="0"/>
    <xf numFmtId="0" fontId="47" fillId="0" borderId="0"/>
    <xf numFmtId="49" fontId="22" fillId="0" borderId="5">
      <alignment horizontal="center" vertical="center" wrapText="1"/>
    </xf>
    <xf numFmtId="0" fontId="47" fillId="0" borderId="0"/>
    <xf numFmtId="49" fontId="22" fillId="0" borderId="5">
      <alignment horizontal="center" vertical="center" wrapText="1"/>
    </xf>
    <xf numFmtId="0" fontId="47" fillId="0" borderId="0">
      <alignment vertical="center"/>
      <protection locked="0"/>
    </xf>
    <xf numFmtId="0" fontId="47" fillId="0" borderId="0"/>
    <xf numFmtId="49" fontId="22" fillId="0" borderId="5">
      <alignment horizontal="center" vertical="center" wrapText="1"/>
    </xf>
    <xf numFmtId="0" fontId="47" fillId="0" borderId="0">
      <alignment vertical="center"/>
      <protection locked="0"/>
    </xf>
    <xf numFmtId="0" fontId="47" fillId="0" borderId="0"/>
    <xf numFmtId="49" fontId="22" fillId="0" borderId="5">
      <alignment horizontal="center" vertical="center" wrapText="1"/>
    </xf>
    <xf numFmtId="0" fontId="47" fillId="0" borderId="0"/>
    <xf numFmtId="49" fontId="22" fillId="0" borderId="5">
      <alignment horizontal="center" vertical="center" wrapText="1"/>
    </xf>
    <xf numFmtId="0" fontId="24" fillId="29" borderId="0" applyNumberFormat="0" applyBorder="0" applyAlignment="0" applyProtection="0">
      <alignment vertical="center"/>
    </xf>
    <xf numFmtId="0" fontId="47" fillId="0" borderId="0" applyProtection="0"/>
    <xf numFmtId="0" fontId="44" fillId="0" borderId="27" applyNumberFormat="0" applyAlignment="0" applyProtection="0">
      <alignment horizontal="left" vertical="center"/>
    </xf>
    <xf numFmtId="0" fontId="19" fillId="0" borderId="0">
      <alignment vertical="center"/>
    </xf>
    <xf numFmtId="0" fontId="24" fillId="29" borderId="0" applyNumberFormat="0" applyBorder="0" applyAlignment="0" applyProtection="0">
      <alignment vertical="center"/>
    </xf>
    <xf numFmtId="0" fontId="47" fillId="0" borderId="0" applyProtection="0"/>
    <xf numFmtId="37" fontId="72" fillId="0" borderId="0">
      <alignment vertical="center"/>
    </xf>
    <xf numFmtId="0" fontId="44" fillId="0" borderId="27" applyNumberFormat="0" applyAlignment="0" applyProtection="0">
      <alignment horizontal="left" vertical="center"/>
    </xf>
    <xf numFmtId="0" fontId="19" fillId="0" borderId="0">
      <alignment vertical="center"/>
    </xf>
    <xf numFmtId="0" fontId="24" fillId="29" borderId="0" applyNumberFormat="0" applyBorder="0" applyAlignment="0" applyProtection="0">
      <alignment vertical="center"/>
    </xf>
    <xf numFmtId="0" fontId="47" fillId="0" borderId="0" applyProtection="0"/>
    <xf numFmtId="37" fontId="72" fillId="0" borderId="0">
      <alignment vertical="center"/>
    </xf>
    <xf numFmtId="0" fontId="47" fillId="0" borderId="0" applyProtection="0"/>
    <xf numFmtId="37" fontId="72" fillId="0" borderId="0">
      <alignment vertical="center"/>
    </xf>
    <xf numFmtId="178" fontId="22" fillId="0" borderId="5">
      <alignment horizontal="right" vertical="center" wrapText="1"/>
    </xf>
    <xf numFmtId="178" fontId="22" fillId="0" borderId="5">
      <alignment horizontal="right" vertical="center" wrapText="1"/>
    </xf>
    <xf numFmtId="0" fontId="47" fillId="0" borderId="0" applyProtection="0"/>
    <xf numFmtId="178" fontId="22" fillId="0" borderId="5">
      <alignment horizontal="right" vertical="center" wrapText="1"/>
    </xf>
    <xf numFmtId="178" fontId="22" fillId="0" borderId="5">
      <alignment horizontal="right" vertical="center" wrapText="1"/>
    </xf>
    <xf numFmtId="0" fontId="47" fillId="0" borderId="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alignment vertical="center"/>
      <protection locked="0"/>
    </xf>
    <xf numFmtId="0" fontId="47" fillId="0" borderId="0"/>
    <xf numFmtId="0" fontId="47" fillId="0" borderId="0">
      <alignment vertical="center"/>
      <protection locked="0"/>
    </xf>
    <xf numFmtId="0" fontId="47" fillId="0" borderId="0"/>
    <xf numFmtId="0" fontId="47" fillId="0" borderId="0"/>
    <xf numFmtId="0" fontId="47" fillId="0" borderId="0"/>
    <xf numFmtId="0" fontId="47" fillId="0" borderId="0" applyProtection="0">
      <alignment vertical="center"/>
    </xf>
    <xf numFmtId="0" fontId="53" fillId="0" borderId="0">
      <alignment horizontal="center"/>
    </xf>
    <xf numFmtId="0" fontId="53" fillId="0" borderId="0">
      <alignment horizontal="center"/>
    </xf>
    <xf numFmtId="0" fontId="47" fillId="0" borderId="0" applyProtection="0">
      <alignment vertical="center"/>
    </xf>
    <xf numFmtId="181" fontId="22" fillId="0" borderId="5" applyProtection="0">
      <alignment horizontal="right" vertical="center" wrapText="1"/>
    </xf>
    <xf numFmtId="0" fontId="61" fillId="13" borderId="0" applyNumberFormat="0" applyBorder="0" applyAlignment="0" applyProtection="0">
      <alignment vertical="center"/>
    </xf>
    <xf numFmtId="178" fontId="22" fillId="0" borderId="5">
      <alignment horizontal="right" vertical="center" wrapText="1"/>
    </xf>
    <xf numFmtId="0" fontId="24" fillId="29" borderId="0" applyNumberFormat="0" applyBorder="0" applyAlignment="0" applyProtection="0">
      <alignment vertical="center"/>
    </xf>
    <xf numFmtId="0" fontId="24" fillId="14" borderId="0" applyNumberFormat="0" applyBorder="0" applyAlignment="0" applyProtection="0">
      <alignment vertical="center"/>
    </xf>
    <xf numFmtId="0" fontId="53" fillId="0" borderId="0">
      <alignment horizontal="center"/>
    </xf>
    <xf numFmtId="0" fontId="53" fillId="0" borderId="0">
      <alignment horizontal="center"/>
    </xf>
    <xf numFmtId="0" fontId="47" fillId="0" borderId="0" applyProtection="0">
      <alignment vertical="center"/>
    </xf>
    <xf numFmtId="181" fontId="22" fillId="0" borderId="5" applyProtection="0">
      <alignment horizontal="right" vertical="center" wrapText="1"/>
    </xf>
    <xf numFmtId="0" fontId="61" fillId="13" borderId="0" applyNumberFormat="0" applyBorder="0" applyAlignment="0" applyProtection="0">
      <alignment vertical="center"/>
    </xf>
    <xf numFmtId="178" fontId="22" fillId="0" borderId="5">
      <alignment horizontal="right" vertical="center" wrapText="1"/>
    </xf>
    <xf numFmtId="181" fontId="5" fillId="0" borderId="5">
      <alignment horizontal="right" vertical="center" wrapText="1"/>
    </xf>
    <xf numFmtId="0" fontId="24" fillId="29" borderId="0" applyNumberFormat="0" applyBorder="0" applyAlignment="0" applyProtection="0">
      <alignment vertical="center"/>
    </xf>
    <xf numFmtId="0" fontId="24" fillId="14" borderId="0" applyNumberFormat="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47" fillId="0" borderId="0" applyProtection="0">
      <alignment vertical="center"/>
    </xf>
    <xf numFmtId="0" fontId="47" fillId="0" borderId="0" applyProtection="0">
      <alignment vertical="center"/>
    </xf>
    <xf numFmtId="0" fontId="47" fillId="0" borderId="0" applyProtection="0">
      <alignment vertical="center"/>
    </xf>
    <xf numFmtId="0" fontId="47" fillId="0" borderId="0" applyProtection="0">
      <alignment vertical="center"/>
    </xf>
    <xf numFmtId="0" fontId="44" fillId="0" borderId="7">
      <alignment horizontal="left" vertical="center"/>
    </xf>
    <xf numFmtId="0" fontId="47" fillId="0" borderId="0" applyProtection="0">
      <alignment vertical="center"/>
    </xf>
    <xf numFmtId="0" fontId="47" fillId="0" borderId="0" applyProtection="0">
      <alignment vertical="center"/>
    </xf>
    <xf numFmtId="0" fontId="47" fillId="0" borderId="0" applyProtection="0">
      <alignment vertical="center"/>
    </xf>
    <xf numFmtId="0" fontId="47" fillId="0" borderId="0" applyProtection="0">
      <alignment vertical="center"/>
    </xf>
    <xf numFmtId="0" fontId="36" fillId="0" borderId="0">
      <alignment vertical="center"/>
    </xf>
    <xf numFmtId="0" fontId="36" fillId="0" borderId="0">
      <alignment vertical="center"/>
    </xf>
    <xf numFmtId="181" fontId="5"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0" fontId="44" fillId="0" borderId="7">
      <alignment horizontal="left" vertical="center"/>
    </xf>
    <xf numFmtId="0" fontId="44" fillId="0" borderId="7">
      <alignment horizontal="left" vertical="center"/>
    </xf>
    <xf numFmtId="188" fontId="19" fillId="0" borderId="0">
      <alignment vertical="center"/>
    </xf>
    <xf numFmtId="0" fontId="22" fillId="0" borderId="0">
      <alignment vertical="center"/>
    </xf>
    <xf numFmtId="0" fontId="61" fillId="2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24" fillId="11" borderId="0" applyNumberFormat="0" applyBorder="0" applyAlignment="0" applyProtection="0">
      <alignment vertical="center"/>
    </xf>
    <xf numFmtId="178" fontId="22" fillId="0" borderId="5" applyProtection="0">
      <alignment horizontal="right" vertical="center" wrapText="1"/>
    </xf>
    <xf numFmtId="0" fontId="24" fillId="15" borderId="0" applyNumberFormat="0" applyBorder="0" applyAlignment="0" applyProtection="0">
      <alignment vertical="center"/>
    </xf>
    <xf numFmtId="0" fontId="61" fillId="2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24" fillId="11" borderId="0" applyNumberFormat="0" applyBorder="0" applyAlignment="0" applyProtection="0">
      <alignment vertical="center"/>
    </xf>
    <xf numFmtId="178" fontId="22" fillId="0" borderId="5" applyProtection="0">
      <alignment horizontal="right" vertical="center" wrapText="1"/>
    </xf>
    <xf numFmtId="0" fontId="24" fillId="15" borderId="0" applyNumberFormat="0" applyBorder="0" applyAlignment="0" applyProtection="0">
      <alignment vertical="center"/>
    </xf>
    <xf numFmtId="0" fontId="61" fillId="2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24" fillId="11" borderId="0" applyNumberFormat="0" applyBorder="0" applyAlignment="0" applyProtection="0">
      <alignment vertical="center"/>
    </xf>
    <xf numFmtId="178" fontId="22" fillId="0" borderId="5" applyProtection="0">
      <alignment horizontal="right" vertical="center" wrapText="1"/>
    </xf>
    <xf numFmtId="0" fontId="24" fillId="15" borderId="0" applyNumberFormat="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61" fillId="2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0" fontId="24" fillId="11" borderId="0" applyNumberFormat="0" applyBorder="0" applyAlignment="0" applyProtection="0">
      <alignment vertical="center"/>
    </xf>
    <xf numFmtId="178" fontId="22" fillId="0" borderId="5" applyProtection="0">
      <alignment horizontal="right" vertical="center" wrapText="1"/>
    </xf>
    <xf numFmtId="0" fontId="24" fillId="15" borderId="0" applyNumberFormat="0" applyBorder="0" applyAlignment="0" applyProtection="0">
      <alignment vertical="center"/>
    </xf>
    <xf numFmtId="0" fontId="49" fillId="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49" fontId="5" fillId="0" borderId="5">
      <alignment vertical="center" wrapText="1"/>
    </xf>
    <xf numFmtId="0" fontId="24" fillId="11" borderId="0" applyNumberFormat="0" applyBorder="0" applyAlignment="0" applyProtection="0">
      <alignment vertical="center"/>
    </xf>
    <xf numFmtId="178" fontId="22" fillId="0" borderId="5" applyProtection="0">
      <alignment horizontal="right" vertical="center" wrapText="1"/>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14" fontId="40" fillId="0" borderId="0">
      <alignment horizontal="center" vertical="center" wrapText="1"/>
      <protection locked="0"/>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53" fillId="0" borderId="0">
      <alignment horizontal="center"/>
    </xf>
    <xf numFmtId="0" fontId="53" fillId="0" borderId="0">
      <alignment horizontal="center"/>
    </xf>
    <xf numFmtId="181" fontId="22" fillId="0" borderId="5" applyProtection="0">
      <alignment horizontal="right" vertical="center" wrapText="1"/>
    </xf>
    <xf numFmtId="0" fontId="61" fillId="13" borderId="0" applyNumberFormat="0" applyBorder="0" applyAlignment="0" applyProtection="0">
      <alignment vertical="center"/>
    </xf>
    <xf numFmtId="178" fontId="22" fillId="0" borderId="5">
      <alignment horizontal="right" vertical="center" wrapText="1"/>
    </xf>
    <xf numFmtId="0" fontId="24" fillId="29" borderId="0" applyNumberFormat="0" applyBorder="0" applyAlignment="0" applyProtection="0">
      <alignment vertical="center"/>
    </xf>
    <xf numFmtId="0" fontId="24" fillId="14" borderId="0" applyNumberFormat="0" applyBorder="0" applyAlignment="0" applyProtection="0">
      <alignment vertical="center"/>
    </xf>
    <xf numFmtId="0" fontId="53" fillId="0" borderId="0">
      <alignment horizontal="center"/>
    </xf>
    <xf numFmtId="181" fontId="22" fillId="0" borderId="5" applyProtection="0">
      <alignment horizontal="right" vertical="center" wrapText="1"/>
    </xf>
    <xf numFmtId="0" fontId="61" fillId="13" borderId="0" applyNumberFormat="0" applyBorder="0" applyAlignment="0" applyProtection="0">
      <alignment vertical="center"/>
    </xf>
    <xf numFmtId="178" fontId="22"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0" fontId="24" fillId="29" borderId="0" applyNumberFormat="0" applyBorder="0" applyAlignment="0" applyProtection="0">
      <alignment vertical="center"/>
    </xf>
    <xf numFmtId="0" fontId="24" fillId="14" borderId="0" applyNumberFormat="0" applyBorder="0" applyAlignment="0" applyProtection="0">
      <alignment vertical="center"/>
    </xf>
    <xf numFmtId="0" fontId="53" fillId="0" borderId="0">
      <alignment horizontal="center"/>
    </xf>
    <xf numFmtId="181" fontId="22" fillId="0" borderId="5" applyProtection="0">
      <alignment horizontal="right" vertical="center" wrapText="1"/>
    </xf>
    <xf numFmtId="0" fontId="49" fillId="32" borderId="0" applyNumberFormat="0" applyBorder="0" applyAlignment="0" applyProtection="0">
      <alignment vertical="center"/>
    </xf>
    <xf numFmtId="178" fontId="22"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0" fontId="24" fillId="29" borderId="0" applyNumberFormat="0" applyBorder="0" applyAlignment="0" applyProtection="0">
      <alignment vertical="center"/>
    </xf>
    <xf numFmtId="0" fontId="24" fillId="14" borderId="0" applyNumberFormat="0" applyBorder="0" applyAlignment="0" applyProtection="0">
      <alignment vertical="center"/>
    </xf>
    <xf numFmtId="49" fontId="5" fillId="0" borderId="5">
      <alignment vertical="center" wrapText="1"/>
    </xf>
    <xf numFmtId="49" fontId="5" fillId="0" borderId="5">
      <alignment vertical="center" wrapText="1"/>
    </xf>
    <xf numFmtId="0" fontId="24" fillId="9" borderId="0" applyNumberFormat="0" applyBorder="0" applyAlignment="0" applyProtection="0">
      <alignment vertical="center"/>
    </xf>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53" fillId="0" borderId="0">
      <alignment horizontal="center" vertical="center"/>
    </xf>
    <xf numFmtId="0" fontId="24" fillId="10" borderId="0"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53" fillId="0" borderId="0">
      <alignment horizontal="center" vertical="center"/>
    </xf>
    <xf numFmtId="49" fontId="22" fillId="0" borderId="5">
      <alignment horizontal="center" vertical="center" wrapText="1"/>
    </xf>
    <xf numFmtId="49" fontId="22" fillId="0" borderId="5">
      <alignment horizontal="center" vertical="center" wrapText="1"/>
    </xf>
    <xf numFmtId="0" fontId="24" fillId="14" borderId="0" applyNumberFormat="0" applyBorder="0" applyAlignment="0" applyProtection="0">
      <alignment vertical="center"/>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0" fontId="24" fillId="14" borderId="0" applyNumberFormat="0" applyBorder="0" applyAlignment="0" applyProtection="0">
      <alignment vertical="center"/>
    </xf>
    <xf numFmtId="0" fontId="53" fillId="0" borderId="25">
      <alignment horizontal="center"/>
    </xf>
    <xf numFmtId="0" fontId="61" fillId="20"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61" fillId="20"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61" fillId="20"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49" fontId="22" fillId="0" borderId="5" applyProtection="0">
      <alignment vertical="center" wrapText="1"/>
    </xf>
    <xf numFmtId="0" fontId="61" fillId="20" borderId="0" applyNumberFormat="0" applyBorder="0" applyAlignment="0" applyProtection="0">
      <alignment vertical="center"/>
    </xf>
    <xf numFmtId="49" fontId="5" fillId="0" borderId="5">
      <alignment vertical="center" wrapText="1"/>
    </xf>
    <xf numFmtId="49" fontId="5" fillId="0" borderId="5">
      <alignment vertical="center" wrapText="1"/>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49" fillId="20" borderId="0"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49" fontId="5" fillId="0" borderId="5">
      <alignment vertical="center" wrapText="1"/>
    </xf>
    <xf numFmtId="49" fontId="5" fillId="0" borderId="5">
      <alignment vertical="center" wrapText="1"/>
    </xf>
    <xf numFmtId="0" fontId="24" fillId="26" borderId="0" applyNumberFormat="0" applyBorder="0" applyAlignment="0" applyProtection="0">
      <alignment vertical="center"/>
    </xf>
    <xf numFmtId="0" fontId="24" fillId="5" borderId="0" applyNumberFormat="0" applyBorder="0" applyAlignment="0" applyProtection="0">
      <alignment vertical="center"/>
    </xf>
    <xf numFmtId="0" fontId="24" fillId="21"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61" fillId="2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24" fillId="5" borderId="0" applyNumberFormat="0" applyBorder="0" applyAlignment="0" applyProtection="0">
      <alignment vertical="center"/>
    </xf>
    <xf numFmtId="0" fontId="40" fillId="0" borderId="0">
      <alignment horizontal="center" wrapText="1"/>
      <protection locked="0"/>
    </xf>
    <xf numFmtId="0" fontId="40" fillId="0" borderId="0">
      <alignment horizontal="center" wrapText="1"/>
      <protection locked="0"/>
    </xf>
    <xf numFmtId="0" fontId="24" fillId="15" borderId="0" applyNumberFormat="0" applyBorder="0" applyAlignment="0" applyProtection="0">
      <alignment vertical="center"/>
    </xf>
    <xf numFmtId="0" fontId="61" fillId="14" borderId="0" applyNumberFormat="0" applyBorder="0" applyAlignment="0" applyProtection="0">
      <alignment vertical="center"/>
    </xf>
    <xf numFmtId="0" fontId="24" fillId="16" borderId="0" applyNumberFormat="0" applyBorder="0" applyAlignment="0" applyProtection="0">
      <alignment vertical="center"/>
    </xf>
    <xf numFmtId="49" fontId="5" fillId="0" borderId="5" applyProtection="0">
      <alignment horizontal="center" vertical="center" wrapText="1"/>
    </xf>
    <xf numFmtId="49" fontId="5" fillId="0" borderId="5">
      <alignment horizontal="center" vertical="center" wrapText="1"/>
    </xf>
    <xf numFmtId="0" fontId="40" fillId="0" borderId="0">
      <alignment horizontal="center" wrapText="1"/>
      <protection locked="0"/>
    </xf>
    <xf numFmtId="0" fontId="40" fillId="0" borderId="0">
      <alignment horizontal="center" wrapText="1"/>
      <protection locked="0"/>
    </xf>
    <xf numFmtId="0" fontId="24" fillId="15" borderId="0" applyNumberFormat="0" applyBorder="0" applyAlignment="0" applyProtection="0">
      <alignment vertical="center"/>
    </xf>
    <xf numFmtId="0" fontId="61" fillId="14" borderId="0" applyNumberFormat="0" applyBorder="0" applyAlignment="0" applyProtection="0">
      <alignment vertical="center"/>
    </xf>
    <xf numFmtId="0" fontId="24" fillId="16" borderId="0" applyNumberFormat="0" applyBorder="0" applyAlignment="0" applyProtection="0">
      <alignment vertical="center"/>
    </xf>
    <xf numFmtId="49" fontId="5" fillId="0" borderId="5">
      <alignment horizontal="center" vertical="center" wrapText="1"/>
    </xf>
    <xf numFmtId="49" fontId="5" fillId="0" borderId="5">
      <alignment horizontal="center" vertical="center" wrapText="1"/>
    </xf>
    <xf numFmtId="0" fontId="40" fillId="0" borderId="0">
      <alignment horizontal="center" wrapText="1"/>
      <protection locked="0"/>
    </xf>
    <xf numFmtId="0" fontId="24" fillId="15" borderId="0" applyNumberFormat="0" applyBorder="0" applyAlignment="0" applyProtection="0">
      <alignment vertical="center"/>
    </xf>
    <xf numFmtId="0" fontId="49" fillId="31" borderId="0"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0" fontId="24" fillId="0" borderId="0">
      <alignment vertical="center"/>
    </xf>
    <xf numFmtId="0" fontId="24" fillId="16" borderId="0" applyNumberFormat="0" applyBorder="0" applyAlignment="0" applyProtection="0">
      <alignment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24" fillId="15" borderId="0" applyNumberFormat="0" applyBorder="0" applyAlignment="0" applyProtection="0">
      <alignment vertical="center"/>
    </xf>
    <xf numFmtId="0" fontId="24" fillId="26"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24" fillId="14" borderId="0" applyNumberFormat="0" applyBorder="0" applyAlignment="0" applyProtection="0">
      <alignment vertical="center"/>
    </xf>
    <xf numFmtId="178" fontId="22" fillId="0" borderId="5">
      <alignment horizontal="right" vertical="center" wrapText="1"/>
    </xf>
    <xf numFmtId="0" fontId="24" fillId="12" borderId="0" applyNumberFormat="0" applyBorder="0" applyAlignment="0" applyProtection="0">
      <alignment vertical="center"/>
    </xf>
    <xf numFmtId="0" fontId="24" fillId="14" borderId="0" applyNumberFormat="0" applyBorder="0" applyAlignment="0" applyProtection="0">
      <alignment vertical="center"/>
    </xf>
    <xf numFmtId="178" fontId="22" fillId="0" borderId="5">
      <alignment horizontal="right" vertical="center" wrapText="1"/>
    </xf>
    <xf numFmtId="0" fontId="24" fillId="12" borderId="0" applyNumberFormat="0" applyBorder="0" applyAlignment="0" applyProtection="0">
      <alignment vertical="center"/>
    </xf>
    <xf numFmtId="195"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0" fontId="109" fillId="0" borderId="0">
      <alignment vertical="center"/>
    </xf>
    <xf numFmtId="0" fontId="24" fillId="33" borderId="0" applyNumberFormat="0" applyBorder="0" applyAlignment="0" applyProtection="0">
      <alignment vertical="center"/>
    </xf>
    <xf numFmtId="0" fontId="24" fillId="12" borderId="0"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14" fontId="40" fillId="0" borderId="0">
      <alignment horizontal="center" vertical="center" wrapText="1"/>
      <protection locked="0"/>
    </xf>
    <xf numFmtId="0" fontId="24" fillId="12" borderId="0" applyNumberFormat="0" applyBorder="0" applyAlignment="0" applyProtection="0">
      <alignment vertical="center"/>
    </xf>
    <xf numFmtId="14" fontId="40" fillId="0" borderId="0">
      <alignment horizontal="center" vertical="center" wrapText="1"/>
      <protection locked="0"/>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0" applyNumberFormat="0" applyBorder="0" applyAlignment="0" applyProtection="0">
      <alignment vertical="center"/>
    </xf>
    <xf numFmtId="0" fontId="53" fillId="0" borderId="0">
      <alignment horizontal="center" vertical="center"/>
    </xf>
    <xf numFmtId="0" fontId="24" fillId="14" borderId="0" applyNumberFormat="0" applyBorder="0" applyAlignment="0" applyProtection="0">
      <alignment vertical="center"/>
    </xf>
    <xf numFmtId="0" fontId="53" fillId="0" borderId="0">
      <alignment horizontal="center"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195" fontId="19" fillId="0" borderId="0">
      <alignment vertical="center"/>
    </xf>
    <xf numFmtId="49" fontId="22" fillId="0" borderId="5" applyProtection="0">
      <alignment vertical="center" wrapText="1"/>
    </xf>
    <xf numFmtId="49" fontId="22" fillId="0" borderId="5" applyProtection="0">
      <alignment vertical="center" wrapText="1"/>
    </xf>
    <xf numFmtId="0" fontId="24" fillId="14" borderId="0" applyNumberFormat="0" applyBorder="0" applyAlignment="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14" fontId="40" fillId="0" borderId="0">
      <alignment horizontal="center" vertical="center" wrapText="1"/>
      <protection locked="0"/>
    </xf>
    <xf numFmtId="0" fontId="24" fillId="14" borderId="0" applyNumberFormat="0" applyBorder="0" applyAlignment="0" applyProtection="0">
      <alignment vertical="center"/>
    </xf>
    <xf numFmtId="14" fontId="40" fillId="0" borderId="0">
      <alignment horizontal="center" vertical="center" wrapText="1"/>
      <protection locked="0"/>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197" fontId="24" fillId="5" borderId="0" applyNumberFormat="0" applyBorder="0" applyAlignment="0" applyProtection="0">
      <alignment vertical="center"/>
    </xf>
    <xf numFmtId="0" fontId="36" fillId="0" borderId="0"/>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24" fillId="16" borderId="0" applyNumberFormat="0" applyBorder="0" applyAlignment="0" applyProtection="0">
      <alignment vertical="center"/>
    </xf>
    <xf numFmtId="190" fontId="48" fillId="0" borderId="0" applyNumberFormat="0" applyFill="0" applyBorder="0" applyAlignment="0" applyProtection="0">
      <alignment horizontal="left"/>
    </xf>
    <xf numFmtId="0" fontId="45" fillId="6" borderId="7" applyNumberFormat="0" applyFont="0" applyAlignment="0">
      <alignment horizontal="center"/>
    </xf>
    <xf numFmtId="178" fontId="5" fillId="0" borderId="5" applyProtection="0">
      <alignment horizontal="right" vertical="center" wrapText="1"/>
    </xf>
    <xf numFmtId="178" fontId="5" fillId="0" borderId="5" applyProtection="0">
      <alignment horizontal="right" vertical="center" wrapText="1"/>
    </xf>
    <xf numFmtId="0" fontId="24" fillId="16" borderId="0" applyProtection="0">
      <alignment vertical="center"/>
    </xf>
    <xf numFmtId="0" fontId="109" fillId="0" borderId="0">
      <alignment vertical="center"/>
    </xf>
    <xf numFmtId="0" fontId="24" fillId="16" borderId="0" applyProtection="0">
      <alignment vertical="center"/>
    </xf>
    <xf numFmtId="0" fontId="109"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61" fillId="29"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24" fillId="11" borderId="0" applyNumberFormat="0" applyBorder="0" applyAlignment="0" applyProtection="0">
      <alignment vertical="center"/>
    </xf>
    <xf numFmtId="178" fontId="22" fillId="0" borderId="5" applyProtection="0">
      <alignment horizontal="right" vertical="center" wrapText="1"/>
    </xf>
    <xf numFmtId="177" fontId="19" fillId="0" borderId="0">
      <alignment vertical="center"/>
    </xf>
    <xf numFmtId="0" fontId="53" fillId="0" borderId="25">
      <alignment horizontal="center" vertical="center"/>
    </xf>
    <xf numFmtId="49" fontId="22" fillId="0" borderId="5" applyProtection="0">
      <alignment vertical="center" wrapText="1"/>
    </xf>
    <xf numFmtId="188" fontId="19" fillId="0" borderId="0"/>
    <xf numFmtId="0" fontId="24" fillId="11" borderId="0"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44" fillId="0" borderId="27" applyNumberFormat="0" applyAlignment="0" applyProtection="0">
      <alignment horizontal="left" vertical="center"/>
    </xf>
    <xf numFmtId="0" fontId="24" fillId="11" borderId="0" applyNumberFormat="0" applyBorder="0" applyAlignment="0" applyProtection="0">
      <alignment vertical="center"/>
    </xf>
    <xf numFmtId="0" fontId="44" fillId="0" borderId="27" applyNumberFormat="0" applyAlignment="0" applyProtection="0">
      <alignment horizontal="left" vertical="center"/>
    </xf>
    <xf numFmtId="0" fontId="24" fillId="11" borderId="0" applyNumberFormat="0" applyBorder="0" applyAlignment="0" applyProtection="0">
      <alignment vertical="center"/>
    </xf>
    <xf numFmtId="0" fontId="53" fillId="0" borderId="0">
      <alignment horizontal="center" vertical="center"/>
    </xf>
    <xf numFmtId="181" fontId="22" fillId="0" borderId="5" applyProtection="0">
      <alignment horizontal="right" vertical="center" wrapText="1"/>
    </xf>
    <xf numFmtId="0" fontId="61" fillId="13" borderId="0" applyNumberFormat="0" applyBorder="0" applyAlignment="0" applyProtection="0">
      <alignment vertical="center"/>
    </xf>
    <xf numFmtId="178" fontId="22" fillId="0" borderId="5">
      <alignment horizontal="right" vertical="center" wrapText="1"/>
    </xf>
    <xf numFmtId="0" fontId="24" fillId="29" borderId="0" applyNumberFormat="0" applyBorder="0" applyAlignment="0" applyProtection="0">
      <alignment vertical="center"/>
    </xf>
    <xf numFmtId="0" fontId="53" fillId="0" borderId="25">
      <alignment horizontal="center" vertical="center"/>
    </xf>
    <xf numFmtId="0" fontId="53" fillId="0" borderId="25">
      <alignment horizontal="center"/>
    </xf>
    <xf numFmtId="0" fontId="61" fillId="20" borderId="0" applyNumberFormat="0" applyBorder="0" applyAlignment="0" applyProtection="0">
      <alignment vertical="center"/>
    </xf>
    <xf numFmtId="0" fontId="24" fillId="13" borderId="0" applyNumberFormat="0" applyBorder="0" applyAlignment="0" applyProtection="0">
      <alignment vertical="center"/>
    </xf>
    <xf numFmtId="188" fontId="19" fillId="0" borderId="0">
      <alignment vertical="center"/>
    </xf>
    <xf numFmtId="49" fontId="22" fillId="0" borderId="5">
      <alignment vertical="center" wrapText="1"/>
    </xf>
    <xf numFmtId="0" fontId="24" fillId="26" borderId="0" applyProtection="0">
      <alignment vertical="center"/>
    </xf>
    <xf numFmtId="188" fontId="19" fillId="0" borderId="0">
      <alignment vertical="center"/>
    </xf>
    <xf numFmtId="49" fontId="22" fillId="0" borderId="5">
      <alignment vertical="center" wrapText="1"/>
    </xf>
    <xf numFmtId="0" fontId="24" fillId="26" borderId="0" applyProtection="0">
      <alignment vertical="center"/>
    </xf>
    <xf numFmtId="188" fontId="19" fillId="0" borderId="0">
      <alignment vertical="center"/>
    </xf>
    <xf numFmtId="49" fontId="22" fillId="0" borderId="5">
      <alignment vertical="center" wrapText="1"/>
    </xf>
    <xf numFmtId="0" fontId="109" fillId="0" borderId="0">
      <alignment vertical="center"/>
    </xf>
    <xf numFmtId="0" fontId="24" fillId="26" borderId="0" applyProtection="0">
      <alignment vertical="center"/>
    </xf>
    <xf numFmtId="188" fontId="19" fillId="0" borderId="0">
      <alignment vertical="center"/>
    </xf>
    <xf numFmtId="49" fontId="22" fillId="0" borderId="5">
      <alignment vertical="center" wrapText="1"/>
    </xf>
    <xf numFmtId="0" fontId="109" fillId="0" borderId="0">
      <alignment vertical="center"/>
    </xf>
    <xf numFmtId="0" fontId="24" fillId="13" borderId="0" applyNumberFormat="0" applyBorder="0" applyAlignment="0" applyProtection="0">
      <alignment vertical="center"/>
    </xf>
    <xf numFmtId="188" fontId="19"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44" fillId="0" borderId="27" applyNumberFormat="0" applyAlignment="0" applyProtection="0">
      <alignment horizontal="left" vertical="center"/>
    </xf>
    <xf numFmtId="0" fontId="24" fillId="13" borderId="0" applyNumberFormat="0" applyBorder="0" applyAlignment="0" applyProtection="0">
      <alignment vertical="center"/>
    </xf>
    <xf numFmtId="0" fontId="40" fillId="0" borderId="0">
      <alignment horizontal="center" vertical="center" wrapText="1"/>
      <protection locked="0"/>
    </xf>
    <xf numFmtId="0" fontId="61" fillId="14" borderId="0" applyNumberFormat="0" applyBorder="0" applyAlignment="0" applyProtection="0">
      <alignment vertical="center"/>
    </xf>
    <xf numFmtId="0" fontId="24" fillId="16" borderId="0" applyNumberFormat="0" applyBorder="0" applyAlignment="0" applyProtection="0">
      <alignment vertical="center"/>
    </xf>
    <xf numFmtId="49" fontId="5" fillId="0" borderId="5" applyProtection="0">
      <alignment horizontal="center" vertical="center" wrapText="1"/>
    </xf>
    <xf numFmtId="49" fontId="5" fillId="0" borderId="5">
      <alignment horizontal="center" vertical="center" wrapText="1"/>
    </xf>
    <xf numFmtId="0" fontId="24" fillId="16" borderId="0" applyProtection="0">
      <alignment vertical="center"/>
    </xf>
    <xf numFmtId="0" fontId="24" fillId="16" borderId="0"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0" fontId="38" fillId="5" borderId="0"/>
    <xf numFmtId="178" fontId="22" fillId="0" borderId="5">
      <alignment horizontal="right" vertical="center" wrapText="1"/>
    </xf>
    <xf numFmtId="178" fontId="22" fillId="0" borderId="5">
      <alignment horizontal="right" vertical="center" wrapText="1"/>
    </xf>
    <xf numFmtId="0" fontId="24" fillId="16" borderId="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109" fillId="0" borderId="0">
      <alignment vertical="center"/>
    </xf>
    <xf numFmtId="0" fontId="24" fillId="16" borderId="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109" fillId="0" borderId="0">
      <alignment vertical="center"/>
    </xf>
    <xf numFmtId="0" fontId="24" fillId="16" borderId="0"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44" fillId="0" borderId="27" applyNumberFormat="0" applyAlignment="0" applyProtection="0">
      <alignment horizontal="left" vertical="center"/>
    </xf>
    <xf numFmtId="0" fontId="24" fillId="16" borderId="0"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44" fillId="0" borderId="27" applyNumberFormat="0" applyAlignment="0" applyProtection="0">
      <alignment horizontal="left" vertical="center"/>
    </xf>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178" fontId="22" fillId="0" borderId="5">
      <alignment horizontal="right" vertical="center" wrapText="1"/>
    </xf>
    <xf numFmtId="0" fontId="24" fillId="33" borderId="0" applyProtection="0">
      <alignment vertical="center"/>
    </xf>
    <xf numFmtId="0" fontId="24" fillId="33" borderId="0"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24" fillId="33" borderId="0" applyProtection="0">
      <alignment vertical="center"/>
    </xf>
    <xf numFmtId="0" fontId="49" fillId="32" borderId="0" applyNumberFormat="0" applyBorder="0" applyAlignment="0" applyProtection="0">
      <alignment vertical="center"/>
    </xf>
    <xf numFmtId="0" fontId="24" fillId="33" borderId="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49" fillId="25"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47" fillId="0" borderId="0">
      <alignment vertical="center"/>
      <protection locked="0"/>
    </xf>
    <xf numFmtId="0" fontId="49" fillId="25" borderId="0"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vertical="center" wrapText="1"/>
    </xf>
    <xf numFmtId="0" fontId="61" fillId="20" borderId="0"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44" fillId="0" borderId="7">
      <alignment horizontal="left" vertical="center"/>
    </xf>
    <xf numFmtId="0" fontId="61" fillId="20" borderId="0" applyNumberFormat="0" applyBorder="0" applyAlignment="0" applyProtection="0">
      <alignment vertical="center"/>
    </xf>
    <xf numFmtId="49" fontId="22" fillId="0" borderId="5" applyProtection="0">
      <alignment vertical="center" wrapText="1"/>
    </xf>
    <xf numFmtId="0" fontId="44" fillId="0" borderId="7">
      <alignment horizontal="left" vertical="center"/>
    </xf>
    <xf numFmtId="0" fontId="61" fillId="20" borderId="0" applyNumberFormat="0" applyBorder="0" applyAlignment="0" applyProtection="0">
      <alignment vertical="center"/>
    </xf>
    <xf numFmtId="49" fontId="22" fillId="0" borderId="5" applyProtection="0">
      <alignment vertical="center" wrapText="1"/>
    </xf>
    <xf numFmtId="0" fontId="44" fillId="0" borderId="7">
      <alignment horizontal="left" vertical="center"/>
    </xf>
    <xf numFmtId="0" fontId="61" fillId="20" borderId="0" applyNumberFormat="0" applyBorder="0" applyAlignment="0" applyProtection="0">
      <alignment vertical="center"/>
    </xf>
    <xf numFmtId="49" fontId="22" fillId="0" borderId="5" applyProtection="0">
      <alignment vertical="center" wrapText="1"/>
    </xf>
    <xf numFmtId="0" fontId="44" fillId="0" borderId="7">
      <alignment horizontal="left" vertical="center"/>
    </xf>
    <xf numFmtId="0" fontId="61" fillId="20" borderId="0" applyNumberFormat="0" applyBorder="0" applyAlignment="0" applyProtection="0">
      <alignment vertical="center"/>
    </xf>
    <xf numFmtId="49" fontId="22" fillId="0" borderId="5" applyProtection="0">
      <alignment vertical="center" wrapText="1"/>
    </xf>
    <xf numFmtId="0" fontId="49" fillId="11" borderId="0" applyNumberFormat="0" applyBorder="0" applyAlignment="0" applyProtection="0">
      <alignment vertical="center"/>
    </xf>
    <xf numFmtId="0" fontId="49" fillId="11" borderId="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188" fontId="19" fillId="0" borderId="0">
      <alignment vertical="center"/>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49" fillId="9" borderId="0" applyNumberFormat="0" applyBorder="0" applyAlignment="0" applyProtection="0">
      <alignment vertical="center"/>
    </xf>
    <xf numFmtId="0" fontId="61" fillId="29" borderId="0" applyNumberFormat="0" applyBorder="0" applyAlignment="0" applyProtection="0">
      <alignment vertical="center"/>
    </xf>
    <xf numFmtId="0" fontId="22" fillId="0" borderId="0"/>
    <xf numFmtId="0" fontId="61" fillId="29" borderId="0" applyNumberFormat="0" applyBorder="0" applyAlignment="0" applyProtection="0">
      <alignment vertical="center"/>
    </xf>
    <xf numFmtId="0" fontId="22" fillId="0" borderId="0" applyNumberFormat="0" applyFont="0" applyFill="0" applyBorder="0" applyAlignment="0" applyProtection="0">
      <alignment horizontal="left" vertical="center"/>
    </xf>
    <xf numFmtId="0" fontId="22" fillId="0" borderId="0"/>
    <xf numFmtId="0" fontId="61" fillId="29" borderId="0" applyNumberFormat="0" applyBorder="0" applyAlignment="0" applyProtection="0">
      <alignment vertical="center"/>
    </xf>
    <xf numFmtId="0" fontId="22" fillId="0" borderId="0" applyNumberFormat="0" applyFont="0" applyFill="0" applyBorder="0" applyAlignment="0" applyProtection="0">
      <alignment horizontal="left" vertical="center"/>
    </xf>
    <xf numFmtId="0" fontId="22" fillId="0" borderId="0" applyNumberFormat="0" applyFont="0" applyFill="0" applyBorder="0" applyAlignment="0" applyProtection="0">
      <alignment horizontal="left" vertical="center"/>
    </xf>
    <xf numFmtId="0" fontId="61" fillId="29" borderId="0" applyNumberFormat="0" applyBorder="0" applyAlignment="0" applyProtection="0">
      <alignment vertical="center"/>
    </xf>
    <xf numFmtId="0" fontId="22" fillId="0" borderId="0" applyNumberFormat="0" applyFont="0" applyFill="0" applyBorder="0" applyAlignment="0" applyProtection="0">
      <alignment horizontal="left" vertical="center"/>
    </xf>
    <xf numFmtId="0" fontId="46" fillId="0" borderId="0" applyNumberFormat="0" applyFont="0" applyFill="0" applyBorder="0" applyAlignment="0" applyProtection="0">
      <alignment horizontal="left"/>
    </xf>
    <xf numFmtId="0" fontId="53" fillId="0" borderId="0">
      <alignment horizontal="center" vertical="center"/>
    </xf>
    <xf numFmtId="0" fontId="61" fillId="13" borderId="0" applyNumberFormat="0" applyBorder="0" applyAlignment="0" applyProtection="0">
      <alignment vertical="center"/>
    </xf>
    <xf numFmtId="178" fontId="22" fillId="0" borderId="5">
      <alignment horizontal="right" vertical="center" wrapText="1"/>
    </xf>
    <xf numFmtId="0" fontId="49" fillId="30" borderId="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13"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14" borderId="0"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61" fillId="14" borderId="0"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61" fillId="14" borderId="0"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61" fillId="14" borderId="0"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47" fillId="0" borderId="0">
      <protection locked="0"/>
    </xf>
    <xf numFmtId="0" fontId="57" fillId="0" borderId="0" applyNumberFormat="0" applyAlignment="0">
      <alignment horizontal="left" vertical="center"/>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12" fillId="0" borderId="0" applyNumberFormat="0" applyFill="0" applyBorder="0" applyAlignment="0" applyProtection="0">
      <alignment vertical="center"/>
    </xf>
    <xf numFmtId="0" fontId="47" fillId="0" borderId="0">
      <alignment vertical="center"/>
      <protection locked="0"/>
    </xf>
    <xf numFmtId="178" fontId="5" fillId="0" borderId="5" applyProtection="0">
      <alignment horizontal="right" vertical="center" wrapText="1"/>
    </xf>
    <xf numFmtId="189" fontId="48" fillId="0" borderId="0">
      <alignment vertical="center"/>
    </xf>
    <xf numFmtId="189" fontId="48" fillId="0" borderId="0" applyFill="0" applyBorder="0" applyAlignment="0">
      <alignment vertical="center"/>
    </xf>
    <xf numFmtId="0" fontId="47" fillId="0" borderId="0">
      <protection locked="0"/>
    </xf>
    <xf numFmtId="0" fontId="47" fillId="0" borderId="0">
      <protection locked="0"/>
    </xf>
    <xf numFmtId="178" fontId="5" fillId="0" borderId="5" applyProtection="0">
      <alignment horizontal="right" vertical="center" wrapText="1"/>
    </xf>
    <xf numFmtId="189" fontId="48" fillId="0" borderId="0" applyFill="0" applyBorder="0" applyAlignment="0">
      <alignment vertical="center"/>
    </xf>
    <xf numFmtId="181" fontId="5" fillId="0" borderId="5" applyProtection="0">
      <alignment horizontal="right" vertical="center" wrapText="1"/>
    </xf>
    <xf numFmtId="0" fontId="47" fillId="0" borderId="0">
      <protection locked="0"/>
    </xf>
    <xf numFmtId="178" fontId="5" fillId="0" borderId="5" applyProtection="0">
      <alignment horizontal="right" vertical="center" wrapText="1"/>
    </xf>
    <xf numFmtId="189" fontId="48" fillId="0" borderId="0" applyFill="0" applyBorder="0" applyAlignment="0">
      <alignment vertical="center"/>
    </xf>
    <xf numFmtId="181" fontId="5" fillId="0" borderId="5" applyProtection="0">
      <alignment horizontal="right" vertical="center" wrapText="1"/>
    </xf>
    <xf numFmtId="0" fontId="47" fillId="0" borderId="0">
      <protection locked="0"/>
    </xf>
    <xf numFmtId="178" fontId="5" fillId="0" borderId="5" applyProtection="0">
      <alignment horizontal="right" vertical="center" wrapText="1"/>
    </xf>
    <xf numFmtId="0" fontId="47" fillId="0" borderId="0">
      <alignment vertical="center"/>
      <protection locked="0"/>
    </xf>
    <xf numFmtId="0" fontId="47" fillId="0" borderId="0">
      <alignment vertical="center"/>
      <protection locked="0"/>
    </xf>
    <xf numFmtId="0" fontId="47" fillId="0" borderId="0">
      <alignment vertical="center"/>
      <protection locked="0"/>
    </xf>
    <xf numFmtId="198" fontId="60" fillId="0" borderId="30">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0" fontId="22" fillId="0" borderId="0"/>
    <xf numFmtId="49" fontId="22" fillId="0" borderId="5" applyProtection="0">
      <alignment horizontal="center" vertical="center" wrapText="1"/>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198" fontId="60" fillId="0" borderId="30">
      <alignment horizontal="center" vertical="center"/>
    </xf>
    <xf numFmtId="0" fontId="22" fillId="0" borderId="0"/>
    <xf numFmtId="49" fontId="22" fillId="0" borderId="5" applyProtection="0">
      <alignment horizontal="center" vertical="center" wrapText="1"/>
    </xf>
    <xf numFmtId="49" fontId="22" fillId="0" borderId="5" applyProtection="0">
      <alignment horizontal="center" vertical="center" wrapText="1"/>
    </xf>
    <xf numFmtId="0" fontId="47" fillId="0" borderId="0">
      <alignment vertical="center"/>
      <protection locked="0"/>
    </xf>
    <xf numFmtId="0" fontId="47" fillId="0" borderId="0">
      <alignment vertical="center"/>
      <protection locked="0"/>
    </xf>
    <xf numFmtId="0" fontId="47" fillId="0" borderId="0">
      <alignment vertical="center"/>
      <protection locked="0"/>
    </xf>
    <xf numFmtId="198" fontId="60" fillId="0" borderId="30">
      <alignment horizontal="center" vertical="center"/>
    </xf>
    <xf numFmtId="0" fontId="22" fillId="0" borderId="0"/>
    <xf numFmtId="49" fontId="22" fillId="0" borderId="5" applyProtection="0">
      <alignment horizontal="center" vertical="center" wrapText="1"/>
    </xf>
    <xf numFmtId="49" fontId="22" fillId="0" borderId="5" applyProtection="0">
      <alignment horizontal="center" vertical="center" wrapText="1"/>
    </xf>
    <xf numFmtId="0" fontId="47" fillId="0" borderId="0">
      <alignment vertical="center"/>
      <protection locked="0"/>
    </xf>
    <xf numFmtId="0" fontId="47" fillId="0" borderId="0">
      <alignment vertical="center"/>
      <protection locked="0"/>
    </xf>
    <xf numFmtId="0" fontId="47" fillId="0" borderId="0">
      <alignment vertical="center"/>
      <protection locked="0"/>
    </xf>
    <xf numFmtId="178" fontId="5" fillId="0" borderId="5" applyProtection="0">
      <alignment horizontal="right" vertical="center" wrapText="1"/>
    </xf>
    <xf numFmtId="0" fontId="47" fillId="0" borderId="0">
      <alignment vertical="center"/>
      <protection locked="0"/>
    </xf>
    <xf numFmtId="0" fontId="47" fillId="0" borderId="0">
      <alignment vertical="center"/>
      <protection locked="0"/>
    </xf>
    <xf numFmtId="0" fontId="44" fillId="0" borderId="7">
      <alignment horizontal="left" vertical="center"/>
    </xf>
    <xf numFmtId="178" fontId="22" fillId="0" borderId="5">
      <alignment horizontal="right" vertical="center" wrapText="1"/>
    </xf>
    <xf numFmtId="0" fontId="47" fillId="0" borderId="0">
      <protection locked="0"/>
    </xf>
    <xf numFmtId="0" fontId="47" fillId="0" borderId="0">
      <alignment vertical="center"/>
      <protection locked="0"/>
    </xf>
    <xf numFmtId="0" fontId="53" fillId="0" borderId="25">
      <alignment horizontal="center" vertical="center"/>
    </xf>
    <xf numFmtId="0" fontId="47" fillId="0" borderId="0">
      <alignment vertical="center"/>
      <protection locked="0"/>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0" fontId="47" fillId="0" borderId="0">
      <alignment vertical="center"/>
      <protection locked="0"/>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7" fillId="0" borderId="0">
      <alignment vertical="center"/>
      <protection locked="0"/>
    </xf>
    <xf numFmtId="0" fontId="44" fillId="0" borderId="7">
      <alignment horizontal="left" vertical="center"/>
    </xf>
    <xf numFmtId="178" fontId="22" fillId="0" borderId="5">
      <alignment horizontal="right" vertical="center" wrapText="1"/>
    </xf>
    <xf numFmtId="0" fontId="47" fillId="0" borderId="0">
      <alignment vertical="center"/>
      <protection locked="0"/>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78" fontId="22" fillId="0" borderId="5">
      <alignment horizontal="right" vertical="center" wrapText="1"/>
    </xf>
    <xf numFmtId="0" fontId="47" fillId="0" borderId="0">
      <alignment vertical="center"/>
      <protection locked="0"/>
    </xf>
    <xf numFmtId="178" fontId="5" fillId="0" borderId="5" applyProtection="0">
      <alignment horizontal="right" vertical="center" wrapText="1"/>
    </xf>
    <xf numFmtId="178" fontId="5" fillId="0" borderId="5" applyProtection="0">
      <alignment horizontal="right" vertical="center" wrapText="1"/>
    </xf>
    <xf numFmtId="0" fontId="44" fillId="0" borderId="7">
      <alignment horizontal="left" vertical="center"/>
    </xf>
    <xf numFmtId="178" fontId="22" fillId="0" borderId="5">
      <alignment horizontal="right" vertical="center" wrapText="1"/>
    </xf>
    <xf numFmtId="178" fontId="22" fillId="0" borderId="5">
      <alignment horizontal="right" vertical="center" wrapText="1"/>
    </xf>
    <xf numFmtId="0" fontId="47" fillId="0" borderId="0">
      <alignment vertical="center"/>
      <protection locked="0"/>
    </xf>
    <xf numFmtId="178" fontId="5" fillId="0" borderId="5" applyProtection="0">
      <alignment horizontal="right" vertical="center" wrapText="1"/>
    </xf>
    <xf numFmtId="178" fontId="5" fillId="0" borderId="5" applyProtection="0">
      <alignment horizontal="right" vertical="center" wrapText="1"/>
    </xf>
    <xf numFmtId="0" fontId="44" fillId="0" borderId="7">
      <alignment horizontal="left" vertical="center"/>
    </xf>
    <xf numFmtId="178" fontId="22" fillId="0" borderId="5">
      <alignment horizontal="right" vertical="center" wrapText="1"/>
    </xf>
    <xf numFmtId="178" fontId="22" fillId="0" borderId="5">
      <alignment horizontal="right" vertical="center" wrapText="1"/>
    </xf>
    <xf numFmtId="0" fontId="47" fillId="0" borderId="0">
      <alignment vertical="center"/>
      <protection locked="0"/>
    </xf>
    <xf numFmtId="178" fontId="5" fillId="0" borderId="5" applyProtection="0">
      <alignment horizontal="right" vertical="center" wrapText="1"/>
    </xf>
    <xf numFmtId="178" fontId="5" fillId="0" borderId="5" applyProtection="0">
      <alignment horizontal="right" vertical="center" wrapText="1"/>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7" fillId="0" borderId="0">
      <alignment vertical="center"/>
      <protection locked="0"/>
    </xf>
    <xf numFmtId="181" fontId="5" fillId="0" borderId="5">
      <alignment horizontal="right" vertical="center" wrapText="1"/>
    </xf>
    <xf numFmtId="181" fontId="5" fillId="0" borderId="5">
      <alignment horizontal="right" vertical="center" wrapText="1"/>
    </xf>
    <xf numFmtId="0" fontId="40" fillId="0" borderId="0">
      <alignment horizontal="center" vertical="center" wrapText="1"/>
      <protection locked="0"/>
    </xf>
    <xf numFmtId="0" fontId="44" fillId="0" borderId="7">
      <alignment horizontal="left" vertical="center"/>
    </xf>
    <xf numFmtId="0" fontId="40" fillId="0" borderId="0">
      <alignment horizontal="center" vertical="center" wrapText="1"/>
      <protection locked="0"/>
    </xf>
    <xf numFmtId="49" fontId="22" fillId="0" borderId="5" applyProtection="0">
      <alignment vertical="center" wrapText="1"/>
    </xf>
    <xf numFmtId="0" fontId="44" fillId="0" borderId="7">
      <alignment horizontal="left" vertical="center"/>
    </xf>
    <xf numFmtId="0" fontId="40" fillId="0" borderId="0">
      <alignment horizontal="center" vertical="center" wrapText="1"/>
      <protection locked="0"/>
    </xf>
    <xf numFmtId="49" fontId="22" fillId="0" borderId="5" applyProtection="0">
      <alignment vertical="center" wrapText="1"/>
    </xf>
    <xf numFmtId="0" fontId="40" fillId="0" borderId="0">
      <alignment horizontal="center" vertical="center" wrapText="1"/>
      <protection locked="0"/>
    </xf>
    <xf numFmtId="0" fontId="40" fillId="0" borderId="0">
      <alignment horizontal="center" vertical="center" wrapText="1"/>
      <protection locked="0"/>
    </xf>
    <xf numFmtId="0" fontId="44" fillId="0" borderId="7">
      <alignment horizontal="left" vertical="center"/>
    </xf>
    <xf numFmtId="4"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40" fillId="0" borderId="0">
      <alignment horizontal="center" vertical="center" wrapText="1"/>
      <protection locked="0"/>
    </xf>
    <xf numFmtId="49" fontId="5" fillId="0" borderId="5">
      <alignment horizontal="center" vertical="center" wrapText="1"/>
    </xf>
    <xf numFmtId="49" fontId="5" fillId="0" borderId="5">
      <alignment horizontal="center" vertical="center" wrapText="1"/>
    </xf>
    <xf numFmtId="0" fontId="44" fillId="0" borderId="7">
      <alignment horizontal="left" vertical="center"/>
    </xf>
    <xf numFmtId="4"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40" fillId="0" borderId="0">
      <alignment horizontal="center" vertical="center" wrapText="1"/>
      <protection locked="0"/>
    </xf>
    <xf numFmtId="49" fontId="5" fillId="0" borderId="5">
      <alignment horizontal="center" vertical="center" wrapText="1"/>
    </xf>
    <xf numFmtId="49" fontId="5" fillId="0" borderId="5">
      <alignment horizontal="center" vertical="center" wrapText="1"/>
    </xf>
    <xf numFmtId="0" fontId="40" fillId="0" borderId="0">
      <alignment horizontal="center" vertical="center" wrapText="1"/>
      <protection locked="0"/>
    </xf>
    <xf numFmtId="0" fontId="38" fillId="5" borderId="5" applyNumberFormat="0" applyBorder="0" applyAlignment="0" applyProtection="0">
      <alignment vertical="center"/>
    </xf>
    <xf numFmtId="0" fontId="40" fillId="0" borderId="0">
      <alignment horizontal="center" vertical="center" wrapText="1"/>
      <protection locked="0"/>
    </xf>
    <xf numFmtId="0" fontId="38" fillId="5" borderId="5" applyNumberFormat="0" applyBorder="0" applyAlignment="0" applyProtection="0">
      <alignment vertical="center"/>
    </xf>
    <xf numFmtId="0" fontId="40" fillId="0" borderId="0">
      <alignment horizontal="center" vertical="center" wrapText="1"/>
      <protection locked="0"/>
    </xf>
    <xf numFmtId="0" fontId="38" fillId="5" borderId="5" applyNumberFormat="0" applyBorder="0" applyAlignment="0" applyProtection="0">
      <alignment vertical="center"/>
    </xf>
    <xf numFmtId="0" fontId="40" fillId="0" borderId="0">
      <alignment horizontal="center" vertical="center" wrapText="1"/>
      <protection locked="0"/>
    </xf>
    <xf numFmtId="0" fontId="38" fillId="5" borderId="5" applyNumberFormat="0" applyBorder="0" applyAlignment="0" applyProtection="0">
      <alignment vertical="center"/>
    </xf>
    <xf numFmtId="49" fontId="22" fillId="0" borderId="5" applyProtection="0">
      <alignment vertical="center" wrapText="1"/>
    </xf>
    <xf numFmtId="0" fontId="40" fillId="0" borderId="0">
      <alignment horizontal="center" vertical="center" wrapText="1"/>
      <protection locked="0"/>
    </xf>
    <xf numFmtId="181" fontId="5" fillId="0" borderId="5" applyProtection="0">
      <alignment horizontal="right" vertical="center" wrapText="1"/>
    </xf>
    <xf numFmtId="49" fontId="22" fillId="0" borderId="5" applyProtection="0">
      <alignment vertical="center" wrapText="1"/>
    </xf>
    <xf numFmtId="0" fontId="40" fillId="0" borderId="0">
      <alignment horizontal="center" vertical="center" wrapText="1"/>
      <protection locked="0"/>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40" fillId="0" borderId="0">
      <alignment horizontal="center" vertical="center" wrapText="1"/>
      <protection locked="0"/>
    </xf>
    <xf numFmtId="0" fontId="38" fillId="5" borderId="5" applyNumberFormat="0" applyBorder="0" applyAlignment="0" applyProtection="0">
      <alignment vertical="center"/>
    </xf>
    <xf numFmtId="10" fontId="38" fillId="5" borderId="5" applyNumberFormat="0" applyBorder="0" applyAlignment="0" applyProtection="0"/>
    <xf numFmtId="0" fontId="44" fillId="0" borderId="7">
      <alignment horizontal="left" vertical="center"/>
    </xf>
    <xf numFmtId="0" fontId="82" fillId="0" borderId="12" applyNumberFormat="0" applyFill="0" applyProtection="0">
      <alignment horizontal="center"/>
    </xf>
    <xf numFmtId="181" fontId="5" fillId="0" borderId="5" applyProtection="0">
      <alignment horizontal="right" vertical="center" wrapText="1"/>
    </xf>
    <xf numFmtId="181" fontId="5" fillId="0" borderId="5" applyProtection="0">
      <alignment horizontal="right" vertical="center" wrapText="1"/>
    </xf>
    <xf numFmtId="189" fontId="48" fillId="0" borderId="0"/>
    <xf numFmtId="9" fontId="24" fillId="0" borderId="0" applyFont="0" applyFill="0" applyBorder="0" applyAlignment="0" applyProtection="0">
      <alignment vertical="center"/>
    </xf>
    <xf numFmtId="189" fontId="48" fillId="0" borderId="0"/>
    <xf numFmtId="189" fontId="48" fillId="0" borderId="0" applyFill="0" applyBorder="0" applyAlignment="0">
      <alignment vertical="center"/>
    </xf>
    <xf numFmtId="0" fontId="79" fillId="0" borderId="0"/>
    <xf numFmtId="0" fontId="22" fillId="0" borderId="0">
      <alignment vertical="center"/>
    </xf>
    <xf numFmtId="9" fontId="24" fillId="0" borderId="0" applyFont="0" applyFill="0" applyBorder="0" applyAlignment="0" applyProtection="0">
      <alignment vertical="center"/>
    </xf>
    <xf numFmtId="0" fontId="73" fillId="0" borderId="0" applyNumberFormat="0" applyFill="0" applyBorder="0" applyAlignment="0" applyProtection="0">
      <alignment vertical="center"/>
    </xf>
    <xf numFmtId="189" fontId="48" fillId="0" borderId="0" applyFill="0" applyBorder="0" applyAlignment="0">
      <alignment vertical="center"/>
    </xf>
    <xf numFmtId="49" fontId="5" fillId="0" borderId="5" applyProtection="0">
      <alignment vertical="center" wrapText="1"/>
    </xf>
    <xf numFmtId="49" fontId="5" fillId="0" borderId="5" applyProtection="0">
      <alignment vertical="center" wrapText="1"/>
    </xf>
    <xf numFmtId="189" fontId="48" fillId="0" borderId="0" applyFill="0" applyBorder="0" applyAlignment="0">
      <alignment vertical="center"/>
    </xf>
    <xf numFmtId="189" fontId="48" fillId="0" borderId="0" applyFill="0" applyBorder="0" applyAlignment="0">
      <alignment vertical="center"/>
    </xf>
    <xf numFmtId="0" fontId="22" fillId="0" borderId="0">
      <alignment vertical="center"/>
    </xf>
    <xf numFmtId="9" fontId="24" fillId="0" borderId="0" applyFont="0" applyFill="0" applyBorder="0" applyAlignment="0" applyProtection="0">
      <alignment vertical="center"/>
    </xf>
    <xf numFmtId="189" fontId="48" fillId="0" borderId="0" applyFill="0" applyBorder="0" applyAlignment="0"/>
    <xf numFmtId="189" fontId="48" fillId="0" borderId="0" applyFill="0" applyBorder="0" applyAlignment="0">
      <alignment vertical="center"/>
    </xf>
    <xf numFmtId="0" fontId="24" fillId="0" borderId="0" applyProtection="0">
      <alignment vertical="center"/>
    </xf>
    <xf numFmtId="9" fontId="24" fillId="0" borderId="0" applyFont="0" applyFill="0" applyBorder="0" applyAlignment="0" applyProtection="0">
      <alignment vertical="center"/>
    </xf>
    <xf numFmtId="189" fontId="48" fillId="0" borderId="0" applyFill="0" applyBorder="0" applyAlignment="0"/>
    <xf numFmtId="189" fontId="48" fillId="0" borderId="0" applyFill="0" applyBorder="0" applyAlignment="0">
      <alignment vertical="center"/>
    </xf>
    <xf numFmtId="0" fontId="22" fillId="0" borderId="0">
      <alignment vertical="center"/>
    </xf>
    <xf numFmtId="9" fontId="24" fillId="0" borderId="0" applyFont="0" applyFill="0" applyBorder="0" applyAlignment="0" applyProtection="0">
      <alignment vertical="center"/>
    </xf>
    <xf numFmtId="189" fontId="48" fillId="0" borderId="0" applyFill="0" applyBorder="0" applyAlignment="0"/>
    <xf numFmtId="189" fontId="48" fillId="0" borderId="0" applyFill="0" applyBorder="0" applyAlignment="0">
      <alignment vertical="center"/>
    </xf>
    <xf numFmtId="0" fontId="57" fillId="0" borderId="0" applyNumberFormat="0" applyAlignment="0">
      <alignment horizontal="left" vertical="center"/>
    </xf>
    <xf numFmtId="189" fontId="48" fillId="0" borderId="0"/>
    <xf numFmtId="189" fontId="48" fillId="0" borderId="0"/>
    <xf numFmtId="189" fontId="48" fillId="0" borderId="0"/>
    <xf numFmtId="189" fontId="48" fillId="0" borderId="0"/>
    <xf numFmtId="198" fontId="77" fillId="0" borderId="30">
      <alignment horizontal="left" vertical="center"/>
    </xf>
    <xf numFmtId="189" fontId="48" fillId="0" borderId="0"/>
    <xf numFmtId="198" fontId="77" fillId="0" borderId="30">
      <alignment horizontal="left" vertical="center"/>
    </xf>
    <xf numFmtId="189" fontId="48" fillId="0" borderId="0"/>
    <xf numFmtId="189" fontId="48" fillId="0" borderId="0" applyFill="0" applyBorder="0" applyAlignment="0"/>
    <xf numFmtId="189" fontId="48" fillId="0" borderId="0" applyFill="0" applyBorder="0" applyAlignment="0"/>
    <xf numFmtId="189" fontId="48" fillId="0" borderId="0" applyFill="0" applyBorder="0" applyAlignment="0"/>
    <xf numFmtId="49" fontId="22" fillId="0" borderId="5" applyProtection="0">
      <alignment vertical="center" wrapText="1"/>
    </xf>
    <xf numFmtId="49" fontId="22" fillId="0" borderId="5" applyProtection="0">
      <alignment vertical="center" wrapText="1"/>
    </xf>
    <xf numFmtId="189" fontId="48" fillId="0" borderId="0" applyFill="0" applyBorder="0" applyAlignment="0"/>
    <xf numFmtId="49" fontId="22" fillId="0" borderId="5" applyProtection="0">
      <alignment vertical="center" wrapText="1"/>
    </xf>
    <xf numFmtId="49" fontId="22" fillId="0" borderId="5" applyProtection="0">
      <alignment vertical="center" wrapText="1"/>
    </xf>
    <xf numFmtId="189" fontId="48" fillId="0" borderId="0"/>
    <xf numFmtId="189" fontId="48" fillId="0" borderId="0"/>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22" fillId="0" borderId="0"/>
    <xf numFmtId="189" fontId="48" fillId="0" borderId="0"/>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22" fillId="0" borderId="0" applyNumberFormat="0" applyFont="0" applyFill="0" applyBorder="0" applyAlignment="0" applyProtection="0">
      <alignment horizontal="left" vertical="center"/>
    </xf>
    <xf numFmtId="189" fontId="48" fillId="0" borderId="0"/>
    <xf numFmtId="178" fontId="5" fillId="0" borderId="5" applyProtection="0">
      <alignment horizontal="right" vertical="center" wrapText="1"/>
    </xf>
    <xf numFmtId="178" fontId="5" fillId="0" borderId="5" applyProtection="0">
      <alignment horizontal="right" vertical="center" wrapText="1"/>
    </xf>
    <xf numFmtId="189" fontId="48" fillId="0" borderId="0"/>
    <xf numFmtId="178" fontId="5" fillId="0" borderId="5" applyProtection="0">
      <alignment horizontal="right" vertical="center" wrapText="1"/>
    </xf>
    <xf numFmtId="178" fontId="5" fillId="0" borderId="5" applyProtection="0">
      <alignment horizontal="right" vertical="center" wrapText="1"/>
    </xf>
    <xf numFmtId="189" fontId="48" fillId="0" borderId="0" applyFill="0" applyBorder="0" applyAlignment="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189" fontId="48" fillId="0" borderId="0" applyFill="0" applyBorder="0" applyAlignment="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89" fontId="48" fillId="0" borderId="0" applyFill="0" applyBorder="0" applyAlignment="0">
      <alignment vertical="center"/>
    </xf>
    <xf numFmtId="0" fontId="53" fillId="0" borderId="0">
      <alignment horizontal="center" vertical="center"/>
    </xf>
    <xf numFmtId="181" fontId="22" fillId="0" borderId="5">
      <alignment horizontal="right" vertical="center" wrapText="1"/>
    </xf>
    <xf numFmtId="49" fontId="22" fillId="0" borderId="5" applyProtection="0">
      <alignment horizontal="center" vertical="center" wrapText="1"/>
    </xf>
    <xf numFmtId="189" fontId="48" fillId="0" borderId="0" applyFill="0" applyBorder="0" applyAlignment="0">
      <alignment vertical="center"/>
    </xf>
    <xf numFmtId="181" fontId="5" fillId="0" borderId="5" applyProtection="0">
      <alignment horizontal="right" vertical="center" wrapText="1"/>
    </xf>
    <xf numFmtId="200" fontId="24" fillId="0" borderId="0" applyProtection="0">
      <alignment vertical="center"/>
    </xf>
    <xf numFmtId="181" fontId="5" fillId="0" borderId="5" applyProtection="0">
      <alignment horizontal="right" vertical="center" wrapText="1"/>
    </xf>
    <xf numFmtId="0" fontId="58" fillId="0" borderId="4" applyNumberFormat="0" applyFill="0" applyProtection="0">
      <alignment horizontal="center"/>
    </xf>
    <xf numFmtId="181" fontId="5" fillId="0" borderId="5">
      <alignment horizontal="right" vertical="center" wrapText="1"/>
    </xf>
    <xf numFmtId="181" fontId="5" fillId="0" borderId="5">
      <alignment horizontal="right" vertical="center" wrapText="1"/>
    </xf>
    <xf numFmtId="200" fontId="24" fillId="0" borderId="0">
      <alignment vertical="center"/>
    </xf>
    <xf numFmtId="200" fontId="24" fillId="0" borderId="0">
      <alignment vertical="center"/>
    </xf>
    <xf numFmtId="200" fontId="24" fillId="0" borderId="0">
      <alignment vertical="center"/>
    </xf>
    <xf numFmtId="200" fontId="24" fillId="0" borderId="0">
      <alignment vertical="center"/>
    </xf>
    <xf numFmtId="200" fontId="22" fillId="0" borderId="0" applyFont="0" applyFill="0" applyBorder="0" applyAlignment="0" applyProtection="0"/>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95" fontId="19"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77" fontId="19" fillId="0" borderId="0">
      <alignment vertical="center"/>
    </xf>
    <xf numFmtId="177" fontId="19" fillId="0" borderId="0">
      <alignment vertical="center"/>
    </xf>
    <xf numFmtId="0" fontId="44" fillId="0" borderId="7">
      <alignment horizontal="left" vertical="center"/>
    </xf>
    <xf numFmtId="177" fontId="19" fillId="0" borderId="0">
      <alignment vertical="center"/>
    </xf>
    <xf numFmtId="177" fontId="19" fillId="0" borderId="0">
      <alignment vertical="center"/>
    </xf>
    <xf numFmtId="177" fontId="19" fillId="0" borderId="0">
      <alignment vertical="center"/>
    </xf>
    <xf numFmtId="177" fontId="19" fillId="0" borderId="0"/>
    <xf numFmtId="177" fontId="19" fillId="0" borderId="0"/>
    <xf numFmtId="0" fontId="53" fillId="0" borderId="25">
      <alignment horizontal="center" vertical="center"/>
    </xf>
    <xf numFmtId="177" fontId="19" fillId="0" borderId="0"/>
    <xf numFmtId="177" fontId="19" fillId="0" borderId="0"/>
    <xf numFmtId="0" fontId="53" fillId="0" borderId="25">
      <alignment horizontal="center" vertical="center"/>
    </xf>
    <xf numFmtId="177" fontId="19" fillId="0" borderId="0"/>
    <xf numFmtId="177" fontId="19" fillId="0" borderId="0"/>
    <xf numFmtId="188" fontId="19" fillId="0" borderId="0"/>
    <xf numFmtId="188" fontId="19" fillId="0" borderId="0"/>
    <xf numFmtId="177" fontId="19" fillId="0" borderId="0">
      <alignment vertical="center"/>
    </xf>
    <xf numFmtId="49" fontId="22" fillId="0" borderId="5" applyProtection="0">
      <alignment vertical="center" wrapText="1"/>
    </xf>
    <xf numFmtId="177" fontId="19" fillId="0" borderId="0">
      <alignment vertical="center"/>
    </xf>
    <xf numFmtId="49" fontId="5" fillId="0" borderId="5" applyProtection="0">
      <alignment horizontal="center" vertical="center" wrapText="1"/>
    </xf>
    <xf numFmtId="177" fontId="19" fillId="0" borderId="0">
      <alignment vertical="center"/>
    </xf>
    <xf numFmtId="177" fontId="19" fillId="0" borderId="0">
      <alignment vertical="center"/>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177"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0" fontId="28" fillId="0" borderId="34" applyNumberFormat="0" applyFill="0" applyAlignment="0" applyProtection="0">
      <alignment vertical="center"/>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0" fontId="28" fillId="0" borderId="34" applyNumberFormat="0" applyFill="0" applyAlignment="0" applyProtection="0">
      <alignment vertical="center"/>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200" fontId="64" fillId="0" borderId="32" applyFill="0" applyBorder="0" applyProtection="0">
      <alignment horizontal="right" vertical="top"/>
    </xf>
    <xf numFmtId="177" fontId="19" fillId="0" borderId="0">
      <alignment vertical="center"/>
    </xf>
    <xf numFmtId="0" fontId="28" fillId="0" borderId="34" applyNumberFormat="0" applyFill="0" applyAlignment="0" applyProtection="0">
      <alignment vertical="center"/>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200" fontId="64" fillId="0" borderId="32" applyFill="0" applyBorder="0" applyProtection="0">
      <alignment horizontal="right" vertical="top"/>
    </xf>
    <xf numFmtId="177" fontId="19" fillId="0" borderId="0">
      <alignment vertical="center"/>
    </xf>
    <xf numFmtId="0" fontId="28" fillId="0" borderId="34" applyNumberFormat="0" applyFill="0" applyAlignment="0" applyProtection="0">
      <alignment vertical="center"/>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7" fontId="19" fillId="0" borderId="0"/>
    <xf numFmtId="0" fontId="53" fillId="0" borderId="25">
      <alignment horizontal="center" vertical="center"/>
    </xf>
    <xf numFmtId="49" fontId="22" fillId="0" borderId="5" applyProtection="0">
      <alignment vertical="center" wrapText="1"/>
    </xf>
    <xf numFmtId="188" fontId="19" fillId="0" borderId="0"/>
    <xf numFmtId="188" fontId="19" fillId="0" borderId="0"/>
    <xf numFmtId="177" fontId="19" fillId="0" borderId="0">
      <alignment vertical="center"/>
    </xf>
    <xf numFmtId="0" fontId="44" fillId="0" borderId="7">
      <alignment horizontal="left" vertical="center"/>
    </xf>
    <xf numFmtId="177" fontId="19" fillId="0" borderId="0">
      <alignment vertical="center"/>
    </xf>
    <xf numFmtId="177" fontId="19" fillId="0" borderId="0">
      <alignment vertical="center"/>
    </xf>
    <xf numFmtId="0" fontId="53" fillId="0" borderId="25">
      <alignment horizontal="center" vertical="center"/>
    </xf>
    <xf numFmtId="177" fontId="19" fillId="0" borderId="0">
      <alignment vertical="center"/>
    </xf>
    <xf numFmtId="177" fontId="19" fillId="0" borderId="0">
      <alignment vertical="center"/>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0" fontId="53" fillId="0" borderId="25">
      <alignment horizontal="center" vertical="center"/>
    </xf>
    <xf numFmtId="177" fontId="19" fillId="0" borderId="0">
      <alignment vertical="center"/>
    </xf>
    <xf numFmtId="177" fontId="19" fillId="0" borderId="0">
      <alignment vertical="center"/>
    </xf>
    <xf numFmtId="49" fontId="5" fillId="0" borderId="5" applyProtection="0">
      <alignment horizontal="center" vertical="center" wrapText="1"/>
    </xf>
    <xf numFmtId="177" fontId="19" fillId="0" borderId="0">
      <alignment vertical="center"/>
    </xf>
    <xf numFmtId="49" fontId="5" fillId="0" borderId="5" applyProtection="0">
      <alignment horizontal="center" vertical="center" wrapText="1"/>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77" fontId="19" fillId="0" borderId="0">
      <alignment vertical="center"/>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8" fontId="22" fillId="0" borderId="5">
      <alignment horizontal="right" vertical="center" wrapText="1"/>
    </xf>
    <xf numFmtId="177" fontId="19" fillId="0" borderId="0">
      <alignment vertical="center"/>
    </xf>
    <xf numFmtId="178" fontId="22" fillId="0" borderId="5">
      <alignment horizontal="right" vertical="center" wrapText="1"/>
    </xf>
    <xf numFmtId="0" fontId="53" fillId="0" borderId="25">
      <alignment horizontal="center" vertical="center"/>
    </xf>
    <xf numFmtId="177" fontId="19" fillId="0" borderId="0">
      <alignment vertical="center"/>
    </xf>
    <xf numFmtId="177" fontId="19" fillId="0" borderId="0">
      <alignment vertical="center"/>
    </xf>
    <xf numFmtId="177" fontId="19" fillId="0" borderId="0">
      <alignment vertical="center"/>
    </xf>
    <xf numFmtId="0" fontId="53" fillId="0" borderId="25">
      <alignment horizontal="center" vertical="center"/>
    </xf>
    <xf numFmtId="49" fontId="22" fillId="0" borderId="5" applyProtection="0">
      <alignment vertical="center" wrapText="1"/>
    </xf>
    <xf numFmtId="188" fontId="19" fillId="0" borderId="0"/>
    <xf numFmtId="177" fontId="19" fillId="0" borderId="0">
      <alignment vertical="center"/>
    </xf>
    <xf numFmtId="0" fontId="53" fillId="0" borderId="25">
      <alignment horizontal="center" vertical="center"/>
    </xf>
    <xf numFmtId="49" fontId="22" fillId="0" borderId="5" applyProtection="0">
      <alignment vertical="center" wrapText="1"/>
    </xf>
    <xf numFmtId="177" fontId="19" fillId="0" borderId="0">
      <alignment vertical="center"/>
    </xf>
    <xf numFmtId="0" fontId="53" fillId="0" borderId="25">
      <alignment horizontal="center" vertical="center"/>
    </xf>
    <xf numFmtId="49" fontId="22" fillId="0" borderId="5" applyProtection="0">
      <alignment vertical="center" wrapText="1"/>
    </xf>
    <xf numFmtId="0" fontId="53" fillId="0" borderId="25">
      <alignment horizontal="center" vertical="center"/>
    </xf>
    <xf numFmtId="177" fontId="19"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53" fillId="0" borderId="25">
      <alignment horizontal="center" vertical="center"/>
    </xf>
    <xf numFmtId="177" fontId="19"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77" fontId="19" fillId="0" borderId="0">
      <alignment vertical="center"/>
    </xf>
    <xf numFmtId="0" fontId="53" fillId="0" borderId="25">
      <alignment horizontal="center"/>
    </xf>
    <xf numFmtId="0" fontId="53" fillId="0" borderId="25">
      <alignment horizontal="center"/>
    </xf>
    <xf numFmtId="49" fontId="22" fillId="0" borderId="5" applyProtection="0">
      <alignment vertical="center" wrapText="1"/>
    </xf>
    <xf numFmtId="0" fontId="53" fillId="0" borderId="25">
      <alignment horizontal="center"/>
    </xf>
    <xf numFmtId="0" fontId="53" fillId="0" borderId="25">
      <alignment horizontal="center"/>
    </xf>
    <xf numFmtId="177" fontId="19" fillId="0" borderId="0">
      <alignment vertical="center"/>
    </xf>
    <xf numFmtId="177" fontId="19" fillId="0" borderId="0">
      <alignment vertical="center"/>
    </xf>
    <xf numFmtId="209" fontId="22" fillId="0" borderId="0" applyFont="0" applyFill="0" applyBorder="0" applyAlignment="0" applyProtection="0"/>
    <xf numFmtId="0" fontId="41" fillId="0" borderId="0" applyNumberFormat="0" applyAlignment="0">
      <alignment horizontal="left"/>
    </xf>
    <xf numFmtId="0" fontId="57" fillId="0" borderId="0" applyNumberFormat="0" applyAlignment="0">
      <alignment horizontal="left" vertical="center"/>
    </xf>
    <xf numFmtId="0" fontId="41" fillId="0" borderId="0" applyNumberFormat="0" applyAlignment="0">
      <alignment horizontal="left"/>
    </xf>
    <xf numFmtId="49" fontId="5" fillId="0" borderId="5" applyProtection="0">
      <alignment vertical="center" wrapText="1"/>
    </xf>
    <xf numFmtId="0" fontId="57" fillId="0" borderId="0" applyNumberFormat="0" applyAlignment="0">
      <alignment horizontal="left" vertical="center"/>
    </xf>
    <xf numFmtId="0" fontId="57" fillId="0" borderId="0" applyNumberFormat="0" applyAlignment="0">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57" fillId="0" borderId="0" applyNumberFormat="0" applyAlignment="0">
      <alignment horizontal="left" vertical="center"/>
    </xf>
    <xf numFmtId="0" fontId="57" fillId="0" borderId="0" applyNumberFormat="0" applyAlignment="0">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195" fontId="19" fillId="0" borderId="0">
      <alignment vertical="center"/>
    </xf>
    <xf numFmtId="0" fontId="57" fillId="0" borderId="0" applyNumberFormat="0" applyAlignment="0">
      <alignment horizontal="left" vertical="center"/>
    </xf>
    <xf numFmtId="0" fontId="57" fillId="0" borderId="0" applyNumberFormat="0" applyAlignment="0">
      <alignment horizontal="left" vertical="center"/>
    </xf>
    <xf numFmtId="0" fontId="57" fillId="0" borderId="0" applyNumberFormat="0" applyAlignment="0">
      <alignment horizontal="left"/>
    </xf>
    <xf numFmtId="0" fontId="57" fillId="0" borderId="0" applyNumberFormat="0" applyAlignment="0">
      <alignment horizontal="left" vertical="center"/>
    </xf>
    <xf numFmtId="49" fontId="22" fillId="0" borderId="5" applyProtection="0">
      <alignment horizontal="center" vertical="center" wrapText="1"/>
    </xf>
    <xf numFmtId="15" fontId="46" fillId="0" borderId="0">
      <alignment vertical="center"/>
    </xf>
    <xf numFmtId="178" fontId="22" fillId="0" borderId="5">
      <alignment horizontal="right" vertical="center" wrapText="1"/>
    </xf>
    <xf numFmtId="0" fontId="57" fillId="0" borderId="0" applyNumberFormat="0" applyAlignment="0">
      <alignment horizontal="left"/>
    </xf>
    <xf numFmtId="0" fontId="57" fillId="0" borderId="0" applyNumberFormat="0" applyAlignment="0">
      <alignment horizontal="left" vertical="center"/>
    </xf>
    <xf numFmtId="49" fontId="22" fillId="0" borderId="5" applyProtection="0">
      <alignment horizontal="center" vertical="center" wrapText="1"/>
    </xf>
    <xf numFmtId="0" fontId="57" fillId="0" borderId="0">
      <alignment vertical="center"/>
    </xf>
    <xf numFmtId="49" fontId="5" fillId="0" borderId="5">
      <alignment horizontal="center" vertical="center" wrapText="1"/>
    </xf>
    <xf numFmtId="15" fontId="46" fillId="0" borderId="0">
      <alignment vertical="center"/>
    </xf>
    <xf numFmtId="178" fontId="22" fillId="0" borderId="5">
      <alignment horizontal="right" vertical="center" wrapText="1"/>
    </xf>
    <xf numFmtId="49" fontId="12" fillId="0" borderId="2">
      <alignment horizontal="center" vertical="center" wrapText="1"/>
    </xf>
    <xf numFmtId="0" fontId="57" fillId="0" borderId="0" applyNumberFormat="0" applyAlignment="0">
      <alignment horizontal="left"/>
    </xf>
    <xf numFmtId="15" fontId="46" fillId="0" borderId="0">
      <alignment vertical="center"/>
    </xf>
    <xf numFmtId="178" fontId="22" fillId="0" borderId="5">
      <alignment horizontal="right" vertical="center" wrapText="1"/>
    </xf>
    <xf numFmtId="0" fontId="57" fillId="0" borderId="0" applyNumberFormat="0" applyAlignment="0">
      <alignment horizontal="left"/>
    </xf>
    <xf numFmtId="15" fontId="46" fillId="0" borderId="0">
      <alignment vertical="center"/>
    </xf>
    <xf numFmtId="0" fontId="57" fillId="0" borderId="0" applyNumberFormat="0" applyAlignment="0">
      <alignment horizontal="left"/>
    </xf>
    <xf numFmtId="15" fontId="46" fillId="0" borderId="0">
      <alignment vertical="center"/>
    </xf>
    <xf numFmtId="0" fontId="57" fillId="0" borderId="0" applyNumberFormat="0" applyAlignment="0">
      <alignment horizontal="left"/>
    </xf>
    <xf numFmtId="15" fontId="46" fillId="0" borderId="0">
      <alignment vertical="center"/>
    </xf>
    <xf numFmtId="0" fontId="57" fillId="0" borderId="0" applyNumberFormat="0" applyAlignment="0">
      <alignment horizontal="left"/>
    </xf>
    <xf numFmtId="0" fontId="57" fillId="0" borderId="0" applyNumberFormat="0" applyAlignment="0">
      <alignment horizontal="left"/>
    </xf>
    <xf numFmtId="49" fontId="5" fillId="0" borderId="5">
      <alignment horizontal="center" vertical="center" wrapText="1"/>
    </xf>
    <xf numFmtId="0" fontId="57" fillId="0" borderId="0"/>
    <xf numFmtId="0" fontId="57" fillId="0" borderId="0"/>
    <xf numFmtId="49" fontId="5" fillId="0" borderId="5" applyProtection="0">
      <alignment horizontal="center" vertical="center" wrapText="1"/>
    </xf>
    <xf numFmtId="49" fontId="5" fillId="0" borderId="5" applyProtection="0">
      <alignment horizontal="center" vertical="center" wrapText="1"/>
    </xf>
    <xf numFmtId="0" fontId="57" fillId="0" borderId="0"/>
    <xf numFmtId="49" fontId="5" fillId="0" borderId="5">
      <alignment horizontal="center" vertical="center" wrapText="1"/>
    </xf>
    <xf numFmtId="0" fontId="57" fillId="0" borderId="0" applyNumberFormat="0" applyAlignment="0">
      <alignment horizontal="left" vertical="center"/>
    </xf>
    <xf numFmtId="49" fontId="5" fillId="0" borderId="5">
      <alignment horizontal="center" vertical="center" wrapText="1"/>
    </xf>
    <xf numFmtId="0" fontId="57" fillId="0" borderId="0" applyNumberFormat="0" applyAlignment="0">
      <alignment horizontal="left" vertical="center"/>
    </xf>
    <xf numFmtId="0" fontId="57" fillId="0" borderId="0" applyNumberFormat="0" applyAlignment="0">
      <alignment horizontal="left" vertical="center"/>
    </xf>
    <xf numFmtId="0" fontId="57" fillId="0" borderId="0" applyNumberFormat="0" applyAlignment="0">
      <alignment horizontal="left" vertical="center"/>
    </xf>
    <xf numFmtId="0" fontId="57" fillId="0" borderId="0" applyNumberFormat="0" applyAlignment="0">
      <alignment horizontal="left" vertical="center"/>
    </xf>
    <xf numFmtId="0" fontId="57" fillId="0" borderId="0" applyNumberFormat="0" applyAlignment="0">
      <alignment horizontal="left" vertical="center"/>
    </xf>
    <xf numFmtId="15" fontId="46" fillId="0" borderId="0">
      <alignment vertical="center"/>
    </xf>
    <xf numFmtId="178" fontId="22" fillId="0" borderId="5">
      <alignment horizontal="right" vertical="center" wrapText="1"/>
    </xf>
    <xf numFmtId="178" fontId="22" fillId="0" borderId="5">
      <alignment horizontal="right" vertical="center" wrapText="1"/>
    </xf>
    <xf numFmtId="184" fontId="22" fillId="0" borderId="0" applyFont="0" applyFill="0" applyBorder="0" applyAlignment="0" applyProtection="0"/>
    <xf numFmtId="211" fontId="22" fillId="0" borderId="0" applyFont="0" applyFill="0" applyBorder="0" applyAlignment="0" applyProtection="0"/>
    <xf numFmtId="49" fontId="5" fillId="0" borderId="5" applyProtection="0">
      <alignment vertical="center" wrapText="1"/>
    </xf>
    <xf numFmtId="188" fontId="19" fillId="0" borderId="0">
      <alignment vertical="center"/>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188" fontId="19" fillId="0" borderId="0">
      <alignment vertical="center"/>
    </xf>
    <xf numFmtId="188" fontId="19" fillId="0" borderId="0">
      <alignment vertical="center"/>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188" fontId="19" fillId="0" borderId="0">
      <alignment vertical="center"/>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188" fontId="19" fillId="0" borderId="0">
      <alignment vertical="center"/>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188" fontId="19" fillId="0" borderId="0">
      <alignment vertical="center"/>
    </xf>
    <xf numFmtId="178" fontId="22" fillId="0" borderId="5">
      <alignment horizontal="right" vertical="center" wrapText="1"/>
    </xf>
    <xf numFmtId="178" fontId="22" fillId="0" borderId="5">
      <alignment horizontal="right" vertical="center" wrapText="1"/>
    </xf>
    <xf numFmtId="188" fontId="19" fillId="0" borderId="0">
      <alignment vertical="center"/>
    </xf>
    <xf numFmtId="178" fontId="22" fillId="0" borderId="5">
      <alignment horizontal="right" vertical="center" wrapText="1"/>
    </xf>
    <xf numFmtId="188" fontId="19" fillId="0" borderId="0"/>
    <xf numFmtId="188" fontId="19" fillId="0" borderId="0"/>
    <xf numFmtId="178" fontId="22" fillId="0" borderId="5" applyProtection="0">
      <alignment horizontal="right" vertical="center" wrapText="1"/>
    </xf>
    <xf numFmtId="178" fontId="22" fillId="0" borderId="5" applyProtection="0">
      <alignment horizontal="right" vertical="center" wrapText="1"/>
    </xf>
    <xf numFmtId="188" fontId="19" fillId="0" borderId="0">
      <alignment vertical="center"/>
    </xf>
    <xf numFmtId="49" fontId="22" fillId="0" borderId="5">
      <alignment vertical="center" wrapText="1"/>
    </xf>
    <xf numFmtId="188" fontId="19" fillId="0" borderId="0">
      <alignment vertical="center"/>
    </xf>
    <xf numFmtId="188" fontId="19" fillId="0" borderId="0">
      <alignment vertical="center"/>
    </xf>
    <xf numFmtId="188" fontId="19" fillId="0" borderId="0">
      <alignment vertical="center"/>
    </xf>
    <xf numFmtId="0" fontId="44" fillId="0" borderId="7">
      <alignment horizontal="left" vertical="center"/>
    </xf>
    <xf numFmtId="188" fontId="19" fillId="0" borderId="0">
      <alignmen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188" fontId="19" fillId="0" borderId="0">
      <alignment vertical="center"/>
    </xf>
    <xf numFmtId="0" fontId="44" fillId="0" borderId="7">
      <alignment horizontal="left" vertical="center"/>
    </xf>
    <xf numFmtId="188" fontId="19" fillId="0" borderId="0">
      <alignment vertical="center"/>
    </xf>
    <xf numFmtId="188" fontId="19" fillId="0" borderId="0">
      <alignment vertical="center"/>
    </xf>
    <xf numFmtId="188" fontId="19" fillId="0" borderId="0">
      <alignment vertical="center"/>
    </xf>
    <xf numFmtId="0" fontId="44" fillId="0" borderId="7">
      <alignment horizontal="left" vertical="center"/>
    </xf>
    <xf numFmtId="188" fontId="19" fillId="0" borderId="0">
      <alignment vertical="center"/>
    </xf>
    <xf numFmtId="0" fontId="44" fillId="0" borderId="7">
      <alignment horizontal="left" vertical="center"/>
    </xf>
    <xf numFmtId="0" fontId="44" fillId="0" borderId="7">
      <alignment horizontal="left" vertical="center"/>
    </xf>
    <xf numFmtId="188" fontId="19" fillId="0" borderId="0">
      <alignment vertical="center"/>
    </xf>
    <xf numFmtId="0" fontId="44" fillId="0" borderId="7">
      <alignment horizontal="left" vertical="center"/>
    </xf>
    <xf numFmtId="0" fontId="44" fillId="0" borderId="7">
      <alignment horizontal="left" vertical="center"/>
    </xf>
    <xf numFmtId="188" fontId="19" fillId="0" borderId="0">
      <alignment vertical="center"/>
    </xf>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44" fillId="0" borderId="7">
      <alignment horizontal="left" vertical="center"/>
    </xf>
    <xf numFmtId="0" fontId="44" fillId="0" borderId="7">
      <alignment horizontal="left" vertical="center"/>
    </xf>
    <xf numFmtId="188" fontId="19"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8" fontId="19" fillId="0" borderId="0">
      <alignment vertical="center"/>
    </xf>
    <xf numFmtId="0" fontId="53" fillId="0" borderId="0">
      <alignment horizontal="center" vertical="center"/>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8" fontId="19" fillId="0" borderId="0">
      <alignment vertical="center"/>
    </xf>
    <xf numFmtId="0" fontId="44" fillId="0" borderId="7">
      <alignment horizontal="left" vertical="center"/>
    </xf>
    <xf numFmtId="188" fontId="19"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97" fontId="22" fillId="0" borderId="0" applyFont="0" applyFill="0" applyBorder="0" applyAlignment="0" applyProtection="0">
      <alignment vertical="center"/>
    </xf>
    <xf numFmtId="181" fontId="22" fillId="0" borderId="5">
      <alignment horizontal="right" vertical="center" wrapText="1"/>
    </xf>
    <xf numFmtId="181" fontId="22" fillId="0" borderId="5">
      <alignment horizontal="right" vertical="center" wrapText="1"/>
    </xf>
    <xf numFmtId="188" fontId="19" fillId="0" borderId="0"/>
    <xf numFmtId="49" fontId="22" fillId="0" borderId="5">
      <alignment vertical="center" wrapText="1"/>
    </xf>
    <xf numFmtId="0" fontId="53" fillId="0" borderId="0">
      <alignment horizontal="center" vertical="center"/>
    </xf>
    <xf numFmtId="188" fontId="19" fillId="0" borderId="0">
      <alignment vertical="center"/>
    </xf>
    <xf numFmtId="188" fontId="19" fillId="0" borderId="0">
      <alignment vertical="center"/>
    </xf>
    <xf numFmtId="188" fontId="19" fillId="0" borderId="0">
      <alignment vertical="center"/>
    </xf>
    <xf numFmtId="0" fontId="44" fillId="0" borderId="7">
      <alignment horizontal="left" vertical="center"/>
    </xf>
    <xf numFmtId="197" fontId="22" fillId="0" borderId="0" applyFont="0" applyFill="0" applyBorder="0" applyAlignment="0" applyProtection="0">
      <alignment vertical="center"/>
    </xf>
    <xf numFmtId="188" fontId="19" fillId="0" borderId="0">
      <alignment vertical="center"/>
    </xf>
    <xf numFmtId="0" fontId="44" fillId="0" borderId="7">
      <alignment horizontal="left" vertical="center"/>
    </xf>
    <xf numFmtId="197" fontId="24" fillId="0" borderId="0">
      <alignment vertical="center"/>
    </xf>
    <xf numFmtId="49" fontId="22" fillId="0" borderId="5" applyProtection="0">
      <alignment vertical="center" wrapText="1"/>
    </xf>
    <xf numFmtId="49" fontId="22" fillId="0" borderId="5" applyProtection="0">
      <alignment vertical="center" wrapText="1"/>
    </xf>
    <xf numFmtId="0" fontId="44" fillId="0" borderId="27"/>
    <xf numFmtId="188" fontId="19" fillId="0" borderId="0">
      <alignment vertical="center"/>
    </xf>
    <xf numFmtId="0" fontId="44" fillId="0" borderId="7">
      <alignment horizontal="left" vertical="center"/>
    </xf>
    <xf numFmtId="197"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44" fillId="0" borderId="27"/>
    <xf numFmtId="188" fontId="19" fillId="0" borderId="0">
      <alignment vertical="center"/>
    </xf>
    <xf numFmtId="188" fontId="19" fillId="0" borderId="0">
      <alignment vertical="center"/>
    </xf>
    <xf numFmtId="188" fontId="19" fillId="0" borderId="0">
      <alignment vertical="center"/>
    </xf>
    <xf numFmtId="0" fontId="44" fillId="0" borderId="7">
      <alignment horizontal="left" vertical="center"/>
    </xf>
    <xf numFmtId="197" fontId="22" fillId="0" borderId="0" applyFont="0" applyFill="0" applyBorder="0" applyAlignment="0" applyProtection="0">
      <alignment vertical="center"/>
    </xf>
    <xf numFmtId="188" fontId="19" fillId="0" borderId="0">
      <alignment vertical="center"/>
    </xf>
    <xf numFmtId="188" fontId="19" fillId="0" borderId="0">
      <alignment vertical="center"/>
    </xf>
    <xf numFmtId="188" fontId="19" fillId="0" borderId="0">
      <alignment vertical="center"/>
    </xf>
    <xf numFmtId="0" fontId="44" fillId="0" borderId="7">
      <alignment horizontal="left" vertical="center"/>
    </xf>
    <xf numFmtId="0" fontId="44" fillId="0" borderId="7">
      <alignment horizontal="left" vertical="center"/>
    </xf>
    <xf numFmtId="188" fontId="19" fillId="0" borderId="0">
      <alignment vertical="center"/>
    </xf>
    <xf numFmtId="188" fontId="19" fillId="0" borderId="0">
      <alignment vertical="center"/>
    </xf>
    <xf numFmtId="181" fontId="22" fillId="0" borderId="5">
      <alignment horizontal="right" vertical="center" wrapText="1"/>
    </xf>
    <xf numFmtId="188" fontId="19" fillId="0" borderId="0">
      <alignment vertical="center"/>
    </xf>
    <xf numFmtId="181" fontId="22" fillId="0" borderId="5">
      <alignment horizontal="right" vertical="center" wrapText="1"/>
    </xf>
    <xf numFmtId="0" fontId="44" fillId="0" borderId="7">
      <alignment horizontal="left" vertical="center"/>
    </xf>
    <xf numFmtId="0" fontId="44" fillId="0" borderId="7">
      <alignment horizontal="left" vertical="center"/>
    </xf>
    <xf numFmtId="188" fontId="19" fillId="0" borderId="0">
      <alignment vertical="center"/>
    </xf>
    <xf numFmtId="0" fontId="44" fillId="0" borderId="7">
      <alignment horizontal="left" vertical="center"/>
    </xf>
    <xf numFmtId="0" fontId="44" fillId="0" borderId="7">
      <alignment horizontal="left" vertical="center"/>
    </xf>
    <xf numFmtId="188" fontId="19" fillId="0" borderId="0">
      <alignment vertical="center"/>
    </xf>
    <xf numFmtId="0" fontId="44" fillId="0" borderId="7">
      <alignment horizontal="left" vertical="center"/>
    </xf>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44" fillId="0" borderId="7">
      <alignment horizontal="left" vertical="center"/>
    </xf>
    <xf numFmtId="188" fontId="1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44" fillId="0" borderId="7">
      <alignment horizontal="left" vertical="center"/>
    </xf>
    <xf numFmtId="0" fontId="44" fillId="0" borderId="7">
      <alignment horizontal="left" vertical="center"/>
    </xf>
    <xf numFmtId="188" fontId="19"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98" fontId="77" fillId="0" borderId="30">
      <alignment horizontal="left" vertical="center"/>
    </xf>
    <xf numFmtId="49" fontId="5" fillId="0" borderId="5" applyProtection="0">
      <alignment horizontal="center" vertical="center" wrapText="1"/>
    </xf>
    <xf numFmtId="49" fontId="5" fillId="0" borderId="5" applyProtection="0">
      <alignment horizontal="center" vertical="center" wrapText="1"/>
    </xf>
    <xf numFmtId="188" fontId="19" fillId="0" borderId="0">
      <alignment vertical="center"/>
    </xf>
    <xf numFmtId="198" fontId="77" fillId="0" borderId="30">
      <alignment horizontal="left" vertical="center"/>
    </xf>
    <xf numFmtId="49" fontId="5" fillId="0" borderId="5" applyProtection="0">
      <alignment horizontal="center" vertical="center" wrapText="1"/>
    </xf>
    <xf numFmtId="49" fontId="5" fillId="0" borderId="5" applyProtection="0">
      <alignment horizontal="center" vertical="center" wrapText="1"/>
    </xf>
    <xf numFmtId="188" fontId="19" fillId="0" borderId="0">
      <alignment vertical="center"/>
    </xf>
    <xf numFmtId="188" fontId="19" fillId="0" borderId="0">
      <alignment vertical="center"/>
    </xf>
    <xf numFmtId="188" fontId="19" fillId="0" borderId="0">
      <alignment vertical="center"/>
    </xf>
    <xf numFmtId="188" fontId="19" fillId="0" borderId="0">
      <alignment vertical="center"/>
    </xf>
    <xf numFmtId="49" fontId="22" fillId="0" borderId="5">
      <alignment vertical="center" wrapText="1"/>
    </xf>
    <xf numFmtId="0" fontId="44" fillId="0" borderId="7">
      <alignment horizontal="left" vertical="center"/>
    </xf>
    <xf numFmtId="188" fontId="19" fillId="0" borderId="0">
      <alignment vertical="center"/>
    </xf>
    <xf numFmtId="0" fontId="44" fillId="0" borderId="7">
      <alignment horizontal="left" vertical="center"/>
    </xf>
    <xf numFmtId="188" fontId="19" fillId="0" borderId="0">
      <alignment vertical="center"/>
    </xf>
    <xf numFmtId="188" fontId="19" fillId="0" borderId="0">
      <alignment vertical="center"/>
    </xf>
    <xf numFmtId="178" fontId="5" fillId="0" borderId="5">
      <alignment horizontal="right" vertical="center" wrapText="1"/>
    </xf>
    <xf numFmtId="188" fontId="19" fillId="0" borderId="0">
      <alignment vertical="center"/>
    </xf>
    <xf numFmtId="178"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188" fontId="19" fillId="0" borderId="0">
      <alignment vertical="center"/>
    </xf>
    <xf numFmtId="0" fontId="46" fillId="0" borderId="0" applyNumberFormat="0" applyFont="0" applyFill="0" applyBorder="0" applyAlignment="0" applyProtection="0">
      <alignment horizontal="left"/>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188" fontId="19" fillId="0" borderId="0">
      <alignment vertical="center"/>
    </xf>
    <xf numFmtId="0" fontId="46" fillId="0" borderId="0" applyNumberFormat="0" applyFont="0" applyFill="0" applyBorder="0" applyAlignment="0" applyProtection="0">
      <alignment horizontal="left"/>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195" fontId="19" fillId="0" borderId="0">
      <alignment vertical="center"/>
    </xf>
    <xf numFmtId="15" fontId="46" fillId="0" borderId="0">
      <alignmen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15" fontId="46" fillId="0" borderId="0">
      <alignment vertical="center"/>
    </xf>
    <xf numFmtId="0" fontId="44" fillId="0" borderId="7">
      <alignment horizontal="left" vertical="center"/>
    </xf>
    <xf numFmtId="0" fontId="24" fillId="6" borderId="7">
      <alignment vertical="center"/>
    </xf>
    <xf numFmtId="15" fontId="46" fillId="0" borderId="0">
      <alignment vertical="center"/>
    </xf>
    <xf numFmtId="49" fontId="22" fillId="0" borderId="5">
      <alignment horizontal="center" vertical="center" wrapText="1"/>
    </xf>
    <xf numFmtId="15" fontId="46" fillId="0" borderId="0">
      <alignment vertical="center"/>
    </xf>
    <xf numFmtId="49" fontId="22" fillId="0" borderId="5">
      <alignment horizontal="center" vertical="center" wrapText="1"/>
    </xf>
    <xf numFmtId="15" fontId="46" fillId="0" borderId="0"/>
    <xf numFmtId="15" fontId="46" fillId="0" borderId="0"/>
    <xf numFmtId="0" fontId="22" fillId="6" borderId="7"/>
    <xf numFmtId="178" fontId="22" fillId="0" borderId="5">
      <alignment horizontal="right" vertical="center" wrapText="1"/>
    </xf>
    <xf numFmtId="49" fontId="22" fillId="0" borderId="5">
      <alignment horizontal="center" vertical="center" wrapText="1"/>
    </xf>
    <xf numFmtId="15" fontId="46" fillId="0" borderId="0"/>
    <xf numFmtId="15" fontId="46" fillId="0" borderId="0"/>
    <xf numFmtId="0" fontId="22" fillId="6" borderId="7"/>
    <xf numFmtId="178" fontId="22" fillId="0" borderId="5">
      <alignment horizontal="right" vertical="center" wrapText="1"/>
    </xf>
    <xf numFmtId="49" fontId="22" fillId="0" borderId="5">
      <alignment horizontal="center" vertical="center" wrapText="1"/>
    </xf>
    <xf numFmtId="15" fontId="46" fillId="0" borderId="0"/>
    <xf numFmtId="0" fontId="22" fillId="6" borderId="7"/>
    <xf numFmtId="178" fontId="22" fillId="0" borderId="5">
      <alignment horizontal="right" vertical="center" wrapText="1"/>
    </xf>
    <xf numFmtId="49" fontId="22" fillId="0" borderId="5">
      <alignment horizontal="center" vertical="center" wrapText="1"/>
    </xf>
    <xf numFmtId="0" fontId="53" fillId="0" borderId="0">
      <alignment horizontal="center" vertical="center"/>
    </xf>
    <xf numFmtId="181" fontId="22" fillId="0" borderId="5">
      <alignment horizontal="right" vertical="center" wrapText="1"/>
    </xf>
    <xf numFmtId="181" fontId="22" fillId="0" borderId="5">
      <alignment horizontal="right" vertical="center" wrapText="1"/>
    </xf>
    <xf numFmtId="15" fontId="46" fillId="0" borderId="0"/>
    <xf numFmtId="0" fontId="22" fillId="6" borderId="7"/>
    <xf numFmtId="178" fontId="22" fillId="0" borderId="5">
      <alignment horizontal="right" vertical="center" wrapText="1"/>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xf numFmtId="178" fontId="5" fillId="0" borderId="5" applyProtection="0">
      <alignment horizontal="righ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84" fillId="14" borderId="37" applyNumberFormat="0" applyAlignment="0" applyProtection="0">
      <alignment vertical="center"/>
    </xf>
    <xf numFmtId="15" fontId="46" fillId="0" borderId="0">
      <alignmen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84" fillId="14" borderId="37" applyNumberFormat="0" applyAlignment="0" applyProtection="0">
      <alignment vertical="center"/>
    </xf>
    <xf numFmtId="15" fontId="46" fillId="0" borderId="0">
      <alignment vertical="center"/>
    </xf>
    <xf numFmtId="15" fontId="46" fillId="0" borderId="0">
      <alignment vertical="center"/>
    </xf>
    <xf numFmtId="15" fontId="46" fillId="0" borderId="0">
      <alignment vertical="center"/>
    </xf>
    <xf numFmtId="178" fontId="22" fillId="0" borderId="5">
      <alignment horizontal="right" vertical="center" wrapText="1"/>
    </xf>
    <xf numFmtId="178" fontId="22" fillId="0" borderId="5">
      <alignment horizontal="right" vertical="center" wrapText="1"/>
    </xf>
    <xf numFmtId="15" fontId="46" fillId="0" borderId="0">
      <alignment vertical="center"/>
    </xf>
    <xf numFmtId="15" fontId="46" fillId="0" borderId="0">
      <alignment vertical="center"/>
    </xf>
    <xf numFmtId="178" fontId="22" fillId="0" borderId="5">
      <alignment horizontal="right" vertical="center" wrapText="1"/>
    </xf>
    <xf numFmtId="178" fontId="22" fillId="0" borderId="5">
      <alignment horizontal="right" vertical="center" wrapText="1"/>
    </xf>
    <xf numFmtId="15" fontId="46" fillId="0" borderId="0">
      <alignment vertical="center"/>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5" fontId="46" fillId="0" borderId="0">
      <alignment vertical="center"/>
    </xf>
    <xf numFmtId="49" fontId="5" fillId="0" borderId="5" applyProtection="0">
      <alignment horizontal="center" vertical="center" wrapText="1"/>
    </xf>
    <xf numFmtId="49" fontId="5" fillId="0" borderId="5" applyProtection="0">
      <alignment horizontal="center" vertical="center" wrapText="1"/>
    </xf>
    <xf numFmtId="15" fontId="46" fillId="0" borderId="0">
      <alignment vertical="center"/>
    </xf>
    <xf numFmtId="0" fontId="44" fillId="0" borderId="7">
      <alignment horizontal="lef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5" fontId="46" fillId="0" borderId="0">
      <alignment vertical="center"/>
    </xf>
    <xf numFmtId="178" fontId="5" fillId="0" borderId="5" applyProtection="0">
      <alignment horizontal="right" vertical="center" wrapText="1"/>
    </xf>
    <xf numFmtId="15" fontId="46" fillId="0" borderId="0">
      <alignment vertical="center"/>
    </xf>
    <xf numFmtId="178" fontId="22" fillId="0" borderId="5">
      <alignment horizontal="right" vertical="center" wrapText="1"/>
    </xf>
    <xf numFmtId="178" fontId="22" fillId="0" borderId="5">
      <alignment horizontal="right" vertical="center" wrapText="1"/>
    </xf>
    <xf numFmtId="15" fontId="46" fillId="0" borderId="0">
      <alignment vertical="center"/>
    </xf>
    <xf numFmtId="178" fontId="22" fillId="0" borderId="5">
      <alignment horizontal="right" vertical="center" wrapText="1"/>
    </xf>
    <xf numFmtId="178" fontId="22" fillId="0" borderId="5">
      <alignment horizontal="right" vertical="center" wrapText="1"/>
    </xf>
    <xf numFmtId="15" fontId="46" fillId="0" borderId="0">
      <alignment vertical="center"/>
    </xf>
    <xf numFmtId="178" fontId="5" fillId="0" borderId="5" applyProtection="0">
      <alignment horizontal="right" vertical="center" wrapText="1"/>
    </xf>
    <xf numFmtId="0" fontId="38" fillId="13" borderId="0"/>
    <xf numFmtId="15" fontId="46" fillId="0" borderId="0">
      <alignment vertical="center"/>
    </xf>
    <xf numFmtId="178" fontId="5" fillId="0" borderId="5" applyProtection="0">
      <alignment horizontal="right" vertical="center" wrapText="1"/>
    </xf>
    <xf numFmtId="0" fontId="38" fillId="13" borderId="0"/>
    <xf numFmtId="15" fontId="46" fillId="0" borderId="0">
      <alignment vertical="center"/>
    </xf>
    <xf numFmtId="178" fontId="5" fillId="0" borderId="5" applyProtection="0">
      <alignment horizontal="right" vertical="center" wrapText="1"/>
    </xf>
    <xf numFmtId="49" fontId="22" fillId="0" borderId="5">
      <alignment horizontal="center" vertical="center" wrapText="1"/>
    </xf>
    <xf numFmtId="178" fontId="22" fillId="0" borderId="5">
      <alignment horizontal="right" vertical="center" wrapText="1"/>
    </xf>
    <xf numFmtId="178" fontId="22" fillId="0" borderId="5">
      <alignment horizontal="right" vertical="center" wrapText="1"/>
    </xf>
    <xf numFmtId="15" fontId="46" fillId="0" borderId="0">
      <alignment vertical="center"/>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5" fontId="46" fillId="0" borderId="0">
      <alignment vertical="center"/>
    </xf>
    <xf numFmtId="181" fontId="5" fillId="0" borderId="5">
      <alignment horizontal="right" vertical="center" wrapText="1"/>
    </xf>
    <xf numFmtId="0" fontId="38" fillId="13" borderId="0"/>
    <xf numFmtId="15" fontId="46" fillId="0" borderId="0">
      <alignment vertical="center"/>
    </xf>
    <xf numFmtId="0" fontId="38" fillId="13" borderId="0"/>
    <xf numFmtId="15" fontId="46" fillId="0" borderId="0">
      <alignment vertical="center"/>
    </xf>
    <xf numFmtId="186" fontId="48" fillId="0" borderId="0">
      <alignment vertical="center"/>
    </xf>
    <xf numFmtId="15" fontId="46" fillId="0" borderId="0">
      <alignment vertical="center"/>
    </xf>
    <xf numFmtId="186" fontId="48"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5" fontId="46" fillId="0" borderId="0">
      <alignment vertical="center"/>
    </xf>
    <xf numFmtId="186" fontId="48"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0" fontId="41" fillId="0" borderId="0" applyNumberFormat="0" applyAlignment="0">
      <alignment horizontal="left" vertical="center"/>
    </xf>
    <xf numFmtId="195" fontId="19" fillId="0" borderId="0"/>
    <xf numFmtId="0" fontId="22" fillId="6" borderId="7"/>
    <xf numFmtId="195" fontId="19" fillId="0" borderId="0">
      <alignment vertical="center"/>
    </xf>
    <xf numFmtId="49" fontId="22" fillId="0" borderId="5">
      <alignment vertical="center" wrapText="1"/>
    </xf>
    <xf numFmtId="195" fontId="19" fillId="0" borderId="0">
      <alignment vertical="center"/>
    </xf>
    <xf numFmtId="49" fontId="22" fillId="0" borderId="5">
      <alignment vertical="center" wrapText="1"/>
    </xf>
    <xf numFmtId="195" fontId="19" fillId="0" borderId="0"/>
    <xf numFmtId="195" fontId="19" fillId="0" borderId="0"/>
    <xf numFmtId="195" fontId="19" fillId="0" borderId="0"/>
    <xf numFmtId="195" fontId="19" fillId="0" borderId="0"/>
    <xf numFmtId="0" fontId="53" fillId="0" borderId="0">
      <alignment horizontal="center" vertical="center"/>
    </xf>
    <xf numFmtId="195" fontId="19" fillId="0" borderId="0"/>
    <xf numFmtId="195" fontId="19" fillId="0" borderId="0">
      <alignment vertical="center"/>
    </xf>
    <xf numFmtId="195" fontId="19" fillId="0" borderId="0">
      <alignment vertical="center"/>
    </xf>
    <xf numFmtId="178" fontId="5" fillId="0" borderId="5" applyProtection="0">
      <alignment horizontal="right" vertical="center" wrapText="1"/>
    </xf>
    <xf numFmtId="195" fontId="19" fillId="0" borderId="0">
      <alignment vertical="center"/>
    </xf>
    <xf numFmtId="178" fontId="5" fillId="0" borderId="5" applyProtection="0">
      <alignment horizontal="right" vertical="center" wrapText="1"/>
    </xf>
    <xf numFmtId="195" fontId="19" fillId="0" borderId="0">
      <alignment vertical="center"/>
    </xf>
    <xf numFmtId="195" fontId="19" fillId="0" borderId="0">
      <alignment vertical="center"/>
    </xf>
    <xf numFmtId="195"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195" fontId="19" fillId="0" borderId="0">
      <alignment vertical="center"/>
    </xf>
    <xf numFmtId="195"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195" fontId="19" fillId="0" borderId="0">
      <alignment vertical="center"/>
    </xf>
    <xf numFmtId="195"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195" fontId="19" fillId="0" borderId="0">
      <alignment vertical="center"/>
    </xf>
    <xf numFmtId="195"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195" fontId="19" fillId="0" borderId="0">
      <alignment vertical="center"/>
    </xf>
    <xf numFmtId="195" fontId="19" fillId="0" borderId="0">
      <alignment vertical="center"/>
    </xf>
    <xf numFmtId="195" fontId="19" fillId="0" borderId="0">
      <alignment vertical="center"/>
    </xf>
    <xf numFmtId="195" fontId="19" fillId="0" borderId="0">
      <alignment vertical="center"/>
    </xf>
    <xf numFmtId="0" fontId="38" fillId="13" borderId="0"/>
    <xf numFmtId="195" fontId="19" fillId="0" borderId="0">
      <alignment vertical="center"/>
    </xf>
    <xf numFmtId="0" fontId="38" fillId="13" borderId="0"/>
    <xf numFmtId="195" fontId="19" fillId="0" borderId="0">
      <alignment vertical="center"/>
    </xf>
    <xf numFmtId="195" fontId="19" fillId="0" borderId="0"/>
    <xf numFmtId="195" fontId="19" fillId="0" borderId="0">
      <alignment vertical="center"/>
    </xf>
    <xf numFmtId="0" fontId="44" fillId="0" borderId="7">
      <alignment horizontal="left" vertical="center"/>
    </xf>
    <xf numFmtId="195" fontId="19"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95" fontId="19" fillId="0" borderId="0">
      <alignment vertical="center"/>
    </xf>
    <xf numFmtId="195" fontId="19" fillId="0" borderId="0">
      <alignment vertical="center"/>
    </xf>
    <xf numFmtId="195" fontId="19" fillId="0" borderId="0">
      <alignment vertical="center"/>
    </xf>
    <xf numFmtId="49" fontId="5" fillId="0" borderId="5">
      <alignment vertical="center" wrapText="1"/>
    </xf>
    <xf numFmtId="0" fontId="41" fillId="0" borderId="0">
      <alignment vertical="center"/>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95" fontId="19" fillId="0" borderId="0">
      <alignment vertical="center"/>
    </xf>
    <xf numFmtId="0" fontId="41" fillId="0" borderId="0"/>
    <xf numFmtId="49" fontId="5" fillId="0" borderId="5" applyProtection="0">
      <alignment vertical="center" wrapText="1"/>
    </xf>
    <xf numFmtId="49" fontId="5" fillId="0" borderId="5" applyProtection="0">
      <alignment vertical="center" wrapText="1"/>
    </xf>
    <xf numFmtId="195" fontId="19" fillId="0" borderId="0">
      <alignment vertical="center"/>
    </xf>
    <xf numFmtId="0" fontId="41" fillId="0" borderId="0" applyNumberFormat="0" applyAlignment="0">
      <alignment horizontal="left"/>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95" fontId="19" fillId="0" borderId="0">
      <alignment vertical="center"/>
    </xf>
    <xf numFmtId="0" fontId="41" fillId="0" borderId="0"/>
    <xf numFmtId="195" fontId="19" fillId="0" borderId="0">
      <alignment vertical="center"/>
    </xf>
    <xf numFmtId="0" fontId="56" fillId="0" borderId="25">
      <alignment horizontal="center" vertical="center"/>
    </xf>
    <xf numFmtId="0" fontId="41" fillId="0" borderId="0"/>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95" fontId="19" fillId="0" borderId="0">
      <alignment vertical="center"/>
    </xf>
    <xf numFmtId="195" fontId="19" fillId="0" borderId="0">
      <alignment vertical="center"/>
    </xf>
    <xf numFmtId="0" fontId="56" fillId="0" borderId="25">
      <alignment horizontal="center" vertical="center"/>
    </xf>
    <xf numFmtId="0" fontId="41" fillId="0" borderId="0" applyNumberFormat="0" applyAlignment="0">
      <alignment horizontal="left" vertical="center"/>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95" fontId="19" fillId="0" borderId="0">
      <alignment vertical="center"/>
    </xf>
    <xf numFmtId="198" fontId="76" fillId="0" borderId="32">
      <alignment horizontal="left"/>
    </xf>
    <xf numFmtId="195" fontId="19" fillId="0" borderId="0">
      <alignment vertical="center"/>
    </xf>
    <xf numFmtId="0" fontId="41" fillId="0" borderId="0" applyNumberFormat="0" applyAlignment="0">
      <alignment horizontal="left" vertical="center"/>
    </xf>
    <xf numFmtId="0" fontId="41" fillId="0" borderId="0" applyNumberFormat="0" applyAlignment="0">
      <alignment horizontal="left" vertical="center"/>
    </xf>
    <xf numFmtId="195" fontId="19" fillId="0" borderId="0">
      <alignment vertical="center"/>
    </xf>
    <xf numFmtId="0" fontId="41" fillId="0" borderId="0" applyNumberFormat="0" applyAlignment="0">
      <alignment horizontal="left" vertical="center"/>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95" fontId="19" fillId="0" borderId="0">
      <alignment vertical="center"/>
    </xf>
    <xf numFmtId="0" fontId="44" fillId="0" borderId="7">
      <alignment horizontal="left" vertical="center"/>
    </xf>
    <xf numFmtId="0" fontId="41" fillId="0" borderId="0" applyNumberFormat="0" applyAlignment="0">
      <alignment horizontal="left" vertical="center"/>
    </xf>
    <xf numFmtId="195" fontId="19" fillId="0" borderId="0">
      <alignment vertical="center"/>
    </xf>
    <xf numFmtId="0" fontId="44" fillId="0" borderId="7">
      <alignment horizontal="left" vertical="center"/>
    </xf>
    <xf numFmtId="0" fontId="41" fillId="0" borderId="0" applyNumberFormat="0" applyAlignment="0">
      <alignment horizontal="left" vertical="center"/>
    </xf>
    <xf numFmtId="195" fontId="19" fillId="0" borderId="0">
      <alignment vertical="center"/>
    </xf>
    <xf numFmtId="0" fontId="41" fillId="0" borderId="0" applyNumberFormat="0" applyAlignment="0">
      <alignment horizontal="left" vertical="center"/>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95" fontId="19" fillId="0" borderId="0">
      <alignment vertical="center"/>
    </xf>
    <xf numFmtId="195" fontId="19" fillId="0" borderId="0">
      <alignment vertical="center"/>
    </xf>
    <xf numFmtId="195" fontId="19" fillId="0" borderId="0">
      <alignment vertical="center"/>
    </xf>
    <xf numFmtId="195" fontId="19" fillId="0" borderId="0">
      <alignment vertical="center"/>
    </xf>
    <xf numFmtId="195" fontId="19" fillId="0" borderId="0">
      <alignment vertical="center"/>
    </xf>
    <xf numFmtId="195" fontId="19" fillId="0" borderId="0">
      <alignment vertical="center"/>
    </xf>
    <xf numFmtId="181" fontId="5" fillId="0" borderId="5" applyProtection="0">
      <alignment horizontal="right" vertical="center" wrapText="1"/>
    </xf>
    <xf numFmtId="195" fontId="19" fillId="0" borderId="0">
      <alignment vertical="center"/>
    </xf>
    <xf numFmtId="181" fontId="5" fillId="0" borderId="5" applyProtection="0">
      <alignment horizontal="right" vertical="center" wrapText="1"/>
    </xf>
    <xf numFmtId="195" fontId="19" fillId="0" borderId="0">
      <alignment vertical="center"/>
    </xf>
    <xf numFmtId="195" fontId="19" fillId="0" borderId="0">
      <alignment vertical="center"/>
    </xf>
    <xf numFmtId="0" fontId="41" fillId="0" borderId="0" applyNumberFormat="0" applyAlignment="0">
      <alignment horizontal="left"/>
    </xf>
    <xf numFmtId="0" fontId="41" fillId="0" borderId="0" applyNumberFormat="0" applyAlignment="0">
      <alignment horizontal="left" vertical="center"/>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1" fillId="0" borderId="0" applyNumberFormat="0" applyAlignment="0">
      <alignment horizontal="left" vertical="center"/>
    </xf>
    <xf numFmtId="0" fontId="41" fillId="0" borderId="0" applyNumberFormat="0" applyAlignment="0">
      <alignment horizontal="left" vertical="center"/>
    </xf>
    <xf numFmtId="0" fontId="41" fillId="0" borderId="0"/>
    <xf numFmtId="181" fontId="5" fillId="0" borderId="5" applyProtection="0">
      <alignment horizontal="right" vertical="center" wrapText="1"/>
    </xf>
    <xf numFmtId="181" fontId="5" fillId="0" borderId="5" applyProtection="0">
      <alignment horizontal="right" vertical="center" wrapText="1"/>
    </xf>
    <xf numFmtId="0" fontId="41" fillId="0" borderId="0"/>
    <xf numFmtId="0" fontId="41" fillId="0" borderId="0"/>
    <xf numFmtId="0" fontId="41" fillId="0" borderId="0" applyNumberFormat="0" applyAlignment="0">
      <alignment horizontal="left" vertical="center"/>
    </xf>
    <xf numFmtId="0" fontId="41" fillId="0" borderId="0" applyNumberFormat="0" applyAlignment="0">
      <alignment horizontal="left" vertical="center"/>
    </xf>
    <xf numFmtId="0" fontId="41" fillId="0" borderId="0" applyNumberFormat="0" applyAlignment="0">
      <alignment horizontal="left" vertical="center"/>
    </xf>
    <xf numFmtId="0" fontId="41" fillId="0" borderId="0" applyNumberFormat="0" applyAlignment="0">
      <alignment horizontal="left" vertical="center"/>
    </xf>
    <xf numFmtId="49" fontId="22" fillId="0" borderId="5">
      <alignment horizontal="center" vertical="center" wrapText="1"/>
    </xf>
    <xf numFmtId="49" fontId="22" fillId="0" borderId="5">
      <alignment horizontal="center" vertical="center" wrapText="1"/>
    </xf>
    <xf numFmtId="0" fontId="41" fillId="0" borderId="0" applyNumberFormat="0" applyAlignment="0">
      <alignment horizontal="left"/>
    </xf>
    <xf numFmtId="0" fontId="41" fillId="0" borderId="0" applyNumberFormat="0" applyAlignment="0">
      <alignment horizontal="left" vertical="center"/>
    </xf>
    <xf numFmtId="0" fontId="41" fillId="0" borderId="0"/>
    <xf numFmtId="178" fontId="5" fillId="0" borderId="5" applyProtection="0">
      <alignment horizontal="right" vertical="center" wrapText="1"/>
    </xf>
    <xf numFmtId="178" fontId="5" fillId="0" borderId="5" applyProtection="0">
      <alignment horizontal="right" vertical="center" wrapText="1"/>
    </xf>
    <xf numFmtId="0" fontId="41" fillId="0" borderId="0"/>
    <xf numFmtId="49" fontId="5" fillId="0" borderId="5" applyProtection="0">
      <alignment vertical="center" wrapText="1"/>
    </xf>
    <xf numFmtId="49" fontId="5" fillId="0" borderId="5" applyProtection="0">
      <alignment vertical="center" wrapText="1"/>
    </xf>
    <xf numFmtId="0" fontId="41" fillId="0" borderId="0"/>
    <xf numFmtId="49" fontId="5" fillId="0" borderId="5" applyProtection="0">
      <alignment vertical="center" wrapText="1"/>
    </xf>
    <xf numFmtId="49" fontId="5" fillId="0" borderId="5" applyProtection="0">
      <alignment vertical="center" wrapText="1"/>
    </xf>
    <xf numFmtId="0" fontId="41" fillId="0" borderId="0"/>
    <xf numFmtId="49" fontId="5" fillId="0" borderId="5" applyProtection="0">
      <alignment vertical="center" wrapText="1"/>
    </xf>
    <xf numFmtId="49" fontId="5" fillId="0" borderId="5" applyProtection="0">
      <alignment vertical="center" wrapText="1"/>
    </xf>
    <xf numFmtId="0" fontId="41" fillId="0" borderId="0"/>
    <xf numFmtId="49" fontId="5" fillId="0" borderId="5" applyProtection="0">
      <alignment vertical="center" wrapText="1"/>
    </xf>
    <xf numFmtId="49" fontId="5" fillId="0" borderId="5" applyProtection="0">
      <alignment vertical="center" wrapText="1"/>
    </xf>
    <xf numFmtId="0" fontId="41" fillId="0" borderId="0"/>
    <xf numFmtId="49" fontId="5" fillId="0" borderId="5" applyProtection="0">
      <alignment vertical="center" wrapText="1"/>
    </xf>
    <xf numFmtId="49" fontId="5" fillId="0" borderId="5" applyProtection="0">
      <alignment vertical="center" wrapText="1"/>
    </xf>
    <xf numFmtId="0" fontId="41" fillId="0" borderId="0"/>
    <xf numFmtId="0" fontId="41" fillId="0" borderId="0" applyNumberFormat="0" applyAlignment="0">
      <alignment horizontal="left"/>
    </xf>
    <xf numFmtId="0" fontId="53" fillId="0" borderId="25">
      <alignment horizontal="center" vertical="center"/>
    </xf>
    <xf numFmtId="0" fontId="41" fillId="0" borderId="0"/>
    <xf numFmtId="49" fontId="22" fillId="0" borderId="5" applyProtection="0">
      <alignment horizontal="center" vertical="center" wrapText="1"/>
    </xf>
    <xf numFmtId="49" fontId="22" fillId="0" borderId="5" applyProtection="0">
      <alignment horizontal="center" vertical="center" wrapText="1"/>
    </xf>
    <xf numFmtId="0" fontId="41" fillId="0" borderId="0" applyNumberFormat="0" applyAlignment="0">
      <alignment horizontal="left" vertical="center"/>
    </xf>
    <xf numFmtId="49" fontId="5" fillId="0" borderId="5" applyProtection="0">
      <alignment vertical="center" wrapText="1"/>
    </xf>
    <xf numFmtId="0" fontId="64" fillId="0" borderId="0" applyNumberFormat="0" applyFill="0" applyBorder="0" applyProtection="0">
      <alignment horizontal="center" vertical="top"/>
    </xf>
    <xf numFmtId="192" fontId="55" fillId="0" borderId="0" applyBorder="0">
      <alignment horizontal="right" vertical="top"/>
    </xf>
    <xf numFmtId="205" fontId="64" fillId="0" borderId="0">
      <alignment horizontal="right" vertical="top"/>
    </xf>
    <xf numFmtId="191" fontId="64" fillId="0" borderId="0">
      <alignment horizontal="right" vertical="top"/>
    </xf>
    <xf numFmtId="213" fontId="64" fillId="0" borderId="0" applyFill="0" applyBorder="0">
      <alignment horizontal="right" vertical="top"/>
    </xf>
    <xf numFmtId="213" fontId="64" fillId="0" borderId="0">
      <alignment horizontal="right" vertical="top"/>
    </xf>
    <xf numFmtId="202" fontId="64" fillId="0" borderId="0" applyFill="0" applyBorder="0">
      <alignment horizontal="right" vertical="top"/>
    </xf>
    <xf numFmtId="0" fontId="71" fillId="0" borderId="0">
      <alignment horizontal="left" vertical="center"/>
    </xf>
    <xf numFmtId="49" fontId="22" fillId="0" borderId="5">
      <alignment horizontal="center" vertical="center" wrapText="1"/>
    </xf>
    <xf numFmtId="49" fontId="22" fillId="0" borderId="5">
      <alignment horizontal="center" vertical="center" wrapText="1"/>
    </xf>
    <xf numFmtId="0" fontId="78" fillId="0" borderId="32">
      <alignment horizontal="right" wrapText="1"/>
    </xf>
    <xf numFmtId="0" fontId="44" fillId="0" borderId="7">
      <alignment horizontal="left" vertical="center"/>
    </xf>
    <xf numFmtId="49" fontId="5" fillId="0" borderId="5">
      <alignment vertical="center" wrapText="1"/>
    </xf>
    <xf numFmtId="49" fontId="5" fillId="0" borderId="5">
      <alignment vertical="center" wrapText="1"/>
    </xf>
    <xf numFmtId="181" fontId="22" fillId="0" borderId="5">
      <alignment horizontal="right" vertical="center" wrapText="1"/>
    </xf>
    <xf numFmtId="0" fontId="71" fillId="0" borderId="30">
      <alignment horizontal="right" vertical="center" wrapText="1"/>
    </xf>
    <xf numFmtId="49" fontId="5" fillId="0" borderId="5">
      <alignment horizontal="center" vertical="center" wrapText="1"/>
    </xf>
    <xf numFmtId="49" fontId="5" fillId="0" borderId="5">
      <alignment horizontal="center" vertical="center" wrapText="1"/>
    </xf>
    <xf numFmtId="0" fontId="71" fillId="0" borderId="3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0" fontId="71" fillId="0" borderId="3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181" fontId="22" fillId="0" borderId="5">
      <alignment horizontal="right" vertical="center" wrapText="1"/>
    </xf>
    <xf numFmtId="0" fontId="78" fillId="0" borderId="32">
      <alignment horizontal="right" wrapText="1"/>
    </xf>
    <xf numFmtId="49" fontId="5" fillId="0" borderId="5">
      <alignment horizontal="center" vertical="center" wrapText="1"/>
    </xf>
    <xf numFmtId="49" fontId="5" fillId="0" borderId="5">
      <alignment horizontal="center" vertical="center" wrapText="1"/>
    </xf>
    <xf numFmtId="0" fontId="78" fillId="0" borderId="32">
      <alignment horizontal="right" wrapText="1"/>
    </xf>
    <xf numFmtId="49" fontId="5" fillId="0" borderId="5">
      <alignment horizontal="center" vertical="center" wrapText="1"/>
    </xf>
    <xf numFmtId="49" fontId="5" fillId="0" borderId="5">
      <alignment horizontal="center" vertical="center" wrapText="1"/>
    </xf>
    <xf numFmtId="0" fontId="78" fillId="0" borderId="32">
      <alignment horizontal="right" wrapText="1"/>
    </xf>
    <xf numFmtId="49" fontId="5" fillId="0" borderId="5">
      <alignment horizontal="center" vertical="center" wrapText="1"/>
    </xf>
    <xf numFmtId="49" fontId="5" fillId="0" borderId="5">
      <alignment horizontal="center" vertical="center" wrapText="1"/>
    </xf>
    <xf numFmtId="198" fontId="77" fillId="0" borderId="30">
      <alignment horizontal="left" vertical="center"/>
    </xf>
    <xf numFmtId="49" fontId="5" fillId="0" borderId="5" applyProtection="0">
      <alignment vertical="center" wrapText="1"/>
    </xf>
    <xf numFmtId="49" fontId="5" fillId="0" borderId="5" applyProtection="0">
      <alignment vertical="center" wrapText="1"/>
    </xf>
    <xf numFmtId="198" fontId="77" fillId="0" borderId="30">
      <alignment horizontal="left" vertical="center"/>
    </xf>
    <xf numFmtId="198" fontId="77" fillId="0" borderId="3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198" fontId="77" fillId="0" borderId="3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198" fontId="77" fillId="0" borderId="3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198" fontId="77" fillId="0" borderId="3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0" fontId="53" fillId="0" borderId="25">
      <alignment horizontal="center"/>
    </xf>
    <xf numFmtId="0" fontId="53" fillId="0" borderId="25">
      <alignment horizontal="center"/>
    </xf>
    <xf numFmtId="198" fontId="77" fillId="0" borderId="3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198" fontId="77" fillId="0" borderId="30">
      <alignment horizontal="left" vertical="center"/>
    </xf>
    <xf numFmtId="49" fontId="22" fillId="0" borderId="5" applyProtection="0">
      <alignment horizontal="center" vertical="center" wrapText="1"/>
    </xf>
    <xf numFmtId="49" fontId="22" fillId="0" borderId="5" applyProtection="0">
      <alignment horizontal="center" vertical="center" wrapText="1"/>
    </xf>
    <xf numFmtId="198" fontId="76" fillId="0" borderId="32">
      <alignment horizontal="left"/>
    </xf>
    <xf numFmtId="49" fontId="5" fillId="0" borderId="5" applyProtection="0">
      <alignment vertical="center" wrapText="1"/>
    </xf>
    <xf numFmtId="49" fontId="5" fillId="0" borderId="5" applyProtection="0">
      <alignment vertical="center" wrapText="1"/>
    </xf>
    <xf numFmtId="198" fontId="76" fillId="0" borderId="32">
      <alignment horizontal="left"/>
    </xf>
    <xf numFmtId="49" fontId="5" fillId="0" borderId="5" applyProtection="0">
      <alignment vertical="center" wrapText="1"/>
    </xf>
    <xf numFmtId="49" fontId="5" fillId="0" borderId="5" applyProtection="0">
      <alignment vertical="center" wrapText="1"/>
    </xf>
    <xf numFmtId="196" fontId="74" fillId="0" borderId="0">
      <alignment horizontal="left" vertical="center"/>
    </xf>
    <xf numFmtId="215" fontId="85" fillId="0" borderId="0">
      <alignment vertical="center"/>
    </xf>
    <xf numFmtId="0" fontId="86" fillId="0" borderId="0">
      <alignment vertical="center"/>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98" fontId="77" fillId="0" borderId="30">
      <alignment horizontal="left" vertical="center"/>
    </xf>
    <xf numFmtId="198" fontId="77" fillId="0" borderId="30">
      <alignment horizontal="left" vertical="center"/>
    </xf>
    <xf numFmtId="49" fontId="5" fillId="0" borderId="5" applyProtection="0">
      <alignment horizontal="center" vertical="center" wrapText="1"/>
    </xf>
    <xf numFmtId="49" fontId="5" fillId="0" borderId="5" applyProtection="0">
      <alignment horizontal="center" vertical="center" wrapText="1"/>
    </xf>
    <xf numFmtId="198" fontId="77" fillId="0" borderId="30">
      <alignment horizontal="left" vertical="center"/>
    </xf>
    <xf numFmtId="49" fontId="5" fillId="0" borderId="5" applyProtection="0">
      <alignment horizontal="center" vertical="center" wrapText="1"/>
    </xf>
    <xf numFmtId="49" fontId="5" fillId="0" borderId="5" applyProtection="0">
      <alignment horizontal="center" vertical="center" wrapText="1"/>
    </xf>
    <xf numFmtId="198" fontId="76" fillId="0" borderId="32">
      <alignment horizontal="left"/>
    </xf>
    <xf numFmtId="198" fontId="76" fillId="0" borderId="32">
      <alignment horizontal="left"/>
    </xf>
    <xf numFmtId="198" fontId="76" fillId="0" borderId="32">
      <alignment horizontal="left"/>
    </xf>
    <xf numFmtId="198" fontId="76" fillId="0" borderId="32">
      <alignment horizontal="left"/>
    </xf>
    <xf numFmtId="198" fontId="76" fillId="0" borderId="32">
      <alignment horizontal="left"/>
    </xf>
    <xf numFmtId="198" fontId="64" fillId="0" borderId="0">
      <alignment horizontal="center"/>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lignment vertical="center" wrapText="1"/>
    </xf>
    <xf numFmtId="198" fontId="80" fillId="0" borderId="32">
      <alignment horizontal="center"/>
    </xf>
    <xf numFmtId="198" fontId="60" fillId="0" borderId="30">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0" fontId="24" fillId="0" borderId="0">
      <alignment vertical="center"/>
    </xf>
    <xf numFmtId="49" fontId="22" fillId="0" borderId="5" applyProtection="0">
      <alignment horizontal="center" vertical="center" wrapText="1"/>
    </xf>
    <xf numFmtId="198" fontId="80" fillId="0" borderId="32">
      <alignment horizontal="center"/>
    </xf>
    <xf numFmtId="181" fontId="22" fillId="0" borderId="5">
      <alignment horizontal="right" vertical="center" wrapText="1"/>
    </xf>
    <xf numFmtId="198" fontId="80" fillId="0" borderId="32">
      <alignment horizontal="center"/>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198" fontId="80" fillId="0" borderId="32">
      <alignment horizont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198" fontId="80" fillId="0" borderId="32">
      <alignment horizontal="center"/>
    </xf>
    <xf numFmtId="49" fontId="22"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198" fontId="80" fillId="0" borderId="32">
      <alignment horizont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198" fontId="80" fillId="0" borderId="32">
      <alignment horizontal="center"/>
    </xf>
    <xf numFmtId="49" fontId="22" fillId="0" borderId="5" applyProtection="0">
      <alignment horizontal="center" vertical="center" wrapText="1"/>
    </xf>
    <xf numFmtId="200" fontId="64" fillId="0" borderId="32" applyFill="0" applyBorder="0" applyProtection="0">
      <alignment horizontal="right" vertical="top"/>
    </xf>
    <xf numFmtId="0" fontId="43" fillId="7" borderId="3">
      <alignment vertical="center"/>
      <protection locked="0"/>
    </xf>
    <xf numFmtId="200" fontId="64" fillId="0" borderId="32" applyFill="0" applyBorder="0" applyProtection="0">
      <alignment horizontal="right" vertical="top"/>
    </xf>
    <xf numFmtId="0" fontId="48" fillId="0" borderId="0" applyNumberFormat="0" applyFill="0" applyBorder="0" applyAlignment="0" applyProtection="0">
      <alignment horizontal="left" vertical="center"/>
    </xf>
    <xf numFmtId="0" fontId="43" fillId="7" borderId="3">
      <alignment vertical="center"/>
      <protection locked="0"/>
    </xf>
    <xf numFmtId="200" fontId="64" fillId="0" borderId="32" applyFill="0" applyBorder="0" applyProtection="0">
      <alignment horizontal="right" vertical="top"/>
    </xf>
    <xf numFmtId="0" fontId="48" fillId="0" borderId="0" applyNumberFormat="0" applyFill="0" applyBorder="0" applyAlignment="0" applyProtection="0">
      <alignment horizontal="left" vertical="center"/>
    </xf>
    <xf numFmtId="0" fontId="43" fillId="7" borderId="3">
      <alignment vertical="center"/>
      <protection locked="0"/>
    </xf>
    <xf numFmtId="196" fontId="87" fillId="0" borderId="0">
      <alignment horizontal="left" vertical="center"/>
    </xf>
    <xf numFmtId="198" fontId="87" fillId="0" borderId="0"/>
    <xf numFmtId="198" fontId="88" fillId="0" borderId="0"/>
    <xf numFmtId="0" fontId="53" fillId="0" borderId="0">
      <alignment horizontal="center" vertical="center"/>
    </xf>
    <xf numFmtId="49" fontId="22" fillId="0" borderId="5" applyProtection="0">
      <alignment horizontal="center" vertical="center" wrapText="1"/>
    </xf>
    <xf numFmtId="198" fontId="48" fillId="0"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198" fontId="89" fillId="0" borderId="0">
      <alignment horizontal="left" vertical="top"/>
    </xf>
    <xf numFmtId="0" fontId="22" fillId="6" borderId="7" applyNumberFormat="0" applyFont="0" applyAlignment="0">
      <alignment horizontal="center" vertical="center"/>
    </xf>
    <xf numFmtId="0" fontId="90" fillId="0" borderId="0">
      <alignment horizontal="left" vertical="top" wrapText="1"/>
    </xf>
    <xf numFmtId="181" fontId="5" fillId="0" borderId="5" applyProtection="0">
      <alignment horizontal="right" vertical="center" wrapText="1"/>
    </xf>
    <xf numFmtId="181" fontId="5" fillId="0" borderId="5" applyProtection="0">
      <alignment horizontal="right" vertical="center" wrapText="1"/>
    </xf>
    <xf numFmtId="0" fontId="91" fillId="0" borderId="0">
      <alignment horizontal="left" vertical="top" wrapText="1"/>
    </xf>
    <xf numFmtId="0" fontId="38" fillId="13" borderId="0" applyNumberFormat="0" applyBorder="0" applyAlignment="0" applyProtection="0"/>
    <xf numFmtId="0" fontId="38" fillId="13" borderId="0" applyNumberFormat="0" applyBorder="0" applyAlignment="0" applyProtection="0">
      <alignment vertical="center"/>
    </xf>
    <xf numFmtId="0" fontId="38" fillId="13"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38" fillId="13" borderId="0"/>
    <xf numFmtId="0" fontId="38" fillId="13" borderId="0" applyNumberFormat="0" applyBorder="0" applyAlignment="0" applyProtection="0">
      <alignment vertical="center"/>
    </xf>
    <xf numFmtId="0" fontId="44" fillId="0" borderId="7">
      <alignment horizontal="left" vertical="center"/>
    </xf>
    <xf numFmtId="0" fontId="38" fillId="13" borderId="0" applyNumberFormat="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49" fontId="5" fillId="0" borderId="5" applyProtection="0">
      <alignment horizontal="center" vertical="center" wrapText="1"/>
    </xf>
    <xf numFmtId="49" fontId="5" fillId="0" borderId="5" applyProtection="0">
      <alignment horizontal="center" vertical="center" wrapText="1"/>
    </xf>
    <xf numFmtId="38" fontId="38" fillId="13" borderId="0" applyNumberFormat="0" applyBorder="0" applyAlignment="0" applyProtection="0"/>
    <xf numFmtId="0" fontId="38" fillId="13" borderId="0"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13" borderId="0">
      <alignment vertical="center"/>
    </xf>
    <xf numFmtId="0" fontId="38" fillId="13" borderId="0"/>
    <xf numFmtId="0" fontId="58" fillId="0" borderId="4" applyNumberFormat="0" applyFill="0" applyProtection="0">
      <alignment horizontal="center" vertical="center"/>
    </xf>
    <xf numFmtId="0" fontId="58" fillId="0" borderId="4" applyNumberFormat="0" applyFill="0" applyProtection="0">
      <alignment horizontal="center"/>
    </xf>
    <xf numFmtId="0" fontId="53" fillId="0" borderId="25">
      <alignment horizontal="center" vertical="center"/>
    </xf>
    <xf numFmtId="0" fontId="38" fillId="13" borderId="0"/>
    <xf numFmtId="0" fontId="58" fillId="0" borderId="4">
      <alignment horizontal="center"/>
    </xf>
    <xf numFmtId="0" fontId="58" fillId="0" borderId="4" applyNumberFormat="0" applyFill="0" applyProtection="0">
      <alignment horizontal="center"/>
    </xf>
    <xf numFmtId="0" fontId="53" fillId="0" borderId="25">
      <alignment horizontal="center" vertical="center"/>
    </xf>
    <xf numFmtId="0" fontId="38" fillId="13" borderId="0"/>
    <xf numFmtId="0" fontId="58" fillId="0" borderId="4">
      <alignment horizontal="center"/>
    </xf>
    <xf numFmtId="0" fontId="58" fillId="0" borderId="4" applyNumberFormat="0" applyFill="0" applyProtection="0">
      <alignment horizontal="center"/>
    </xf>
    <xf numFmtId="0" fontId="38" fillId="13" borderId="0"/>
    <xf numFmtId="178" fontId="5" fillId="0" borderId="5" applyProtection="0">
      <alignment horizontal="right" vertical="center" wrapText="1"/>
    </xf>
    <xf numFmtId="178" fontId="5" fillId="0" borderId="5" applyProtection="0">
      <alignment horizontal="right" vertical="center" wrapText="1"/>
    </xf>
    <xf numFmtId="0" fontId="38" fillId="13" borderId="0"/>
    <xf numFmtId="0" fontId="38" fillId="13" borderId="0"/>
    <xf numFmtId="0" fontId="38" fillId="13" borderId="0" applyNumberFormat="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38" fillId="13" borderId="0" applyNumberFormat="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44" fillId="0" borderId="27" applyNumberFormat="0" applyAlignment="0" applyProtection="0">
      <alignment horizontal="left" vertical="center"/>
    </xf>
    <xf numFmtId="0" fontId="44" fillId="0" borderId="27">
      <alignment vertical="center"/>
    </xf>
    <xf numFmtId="0" fontId="44" fillId="0" borderId="27"/>
    <xf numFmtId="178" fontId="22" fillId="0" borderId="5">
      <alignment horizontal="right" vertical="center" wrapText="1"/>
    </xf>
    <xf numFmtId="178" fontId="22" fillId="0" borderId="5">
      <alignment horizontal="right" vertical="center" wrapText="1"/>
    </xf>
    <xf numFmtId="0" fontId="44" fillId="0" borderId="27"/>
    <xf numFmtId="0" fontId="44" fillId="0" borderId="27"/>
    <xf numFmtId="0" fontId="44" fillId="0" borderId="27"/>
    <xf numFmtId="0" fontId="44" fillId="0" borderId="27"/>
    <xf numFmtId="0" fontId="44" fillId="0" borderId="27"/>
    <xf numFmtId="49" fontId="22" fillId="0" borderId="5" applyProtection="0">
      <alignment vertical="center" wrapText="1"/>
    </xf>
    <xf numFmtId="49" fontId="22" fillId="0" borderId="5" applyProtection="0">
      <alignment vertical="center" wrapText="1"/>
    </xf>
    <xf numFmtId="0" fontId="44" fillId="0" borderId="27"/>
    <xf numFmtId="49" fontId="22" fillId="0" borderId="5" applyProtection="0">
      <alignment vertical="center" wrapText="1"/>
    </xf>
    <xf numFmtId="49" fontId="22" fillId="0" borderId="5" applyProtection="0">
      <alignment vertical="center" wrapText="1"/>
    </xf>
    <xf numFmtId="0" fontId="44" fillId="0" borderId="27"/>
    <xf numFmtId="0" fontId="63" fillId="18" borderId="31" applyNumberFormat="0" applyProtection="0">
      <alignment horizontal="left" vertical="center" indent="1"/>
    </xf>
    <xf numFmtId="49" fontId="22" fillId="0" borderId="5" applyProtection="0">
      <alignment vertical="center" wrapText="1"/>
    </xf>
    <xf numFmtId="49" fontId="22" fillId="0" borderId="5" applyProtection="0">
      <alignment vertical="center" wrapText="1"/>
    </xf>
    <xf numFmtId="0" fontId="44" fillId="0" borderId="27"/>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0" fontId="44" fillId="0" borderId="27"/>
    <xf numFmtId="0" fontId="44" fillId="0" borderId="27"/>
    <xf numFmtId="0" fontId="44" fillId="0" borderId="27" applyNumberFormat="0" applyAlignment="0" applyProtection="0">
      <alignment horizontal="left" vertical="center"/>
    </xf>
    <xf numFmtId="0" fontId="44" fillId="0" borderId="27" applyNumberFormat="0" applyAlignment="0" applyProtection="0">
      <alignment horizontal="left" vertical="center"/>
    </xf>
    <xf numFmtId="0" fontId="44" fillId="0" borderId="27" applyNumberFormat="0" applyAlignment="0" applyProtection="0">
      <alignment horizontal="left" vertical="center"/>
    </xf>
    <xf numFmtId="0" fontId="44" fillId="0" borderId="27" applyNumberFormat="0" applyAlignment="0" applyProtection="0">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49" fontId="5" fillId="0" borderId="5" applyProtection="0">
      <alignment horizontal="center" vertical="center" wrapText="1"/>
    </xf>
    <xf numFmtId="0" fontId="44" fillId="0" borderId="7">
      <alignment horizontal="left" vertical="center"/>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178" fontId="22" fillId="0" borderId="5">
      <alignment horizontal="right" vertical="center" wrapText="1"/>
    </xf>
    <xf numFmtId="178" fontId="22" fillId="0" borderId="5">
      <alignment horizontal="right" vertical="center" wrapText="1"/>
    </xf>
    <xf numFmtId="0" fontId="53" fillId="0" borderId="0">
      <alignment horizontal="center" vertical="center"/>
    </xf>
    <xf numFmtId="181" fontId="22" fillId="0" borderId="5">
      <alignment horizontal="right" vertical="center" wrapText="1"/>
    </xf>
    <xf numFmtId="0" fontId="44" fillId="0" borderId="7">
      <alignment horizontal="left" vertical="center"/>
    </xf>
    <xf numFmtId="178" fontId="22" fillId="0" borderId="5">
      <alignment horizontal="right" vertical="center" wrapText="1"/>
    </xf>
    <xf numFmtId="178" fontId="22" fillId="0" borderId="5">
      <alignment horizontal="right" vertical="center" wrapText="1"/>
    </xf>
    <xf numFmtId="0" fontId="44" fillId="0" borderId="7">
      <alignment horizontal="left" vertical="center"/>
    </xf>
    <xf numFmtId="178" fontId="22" fillId="0" borderId="5">
      <alignment horizontal="right" vertical="center" wrapText="1"/>
    </xf>
    <xf numFmtId="178" fontId="22" fillId="0" borderId="5">
      <alignment horizontal="right" vertical="center" wrapText="1"/>
    </xf>
    <xf numFmtId="0" fontId="44" fillId="0" borderId="7">
      <alignment horizontal="left" vertical="center"/>
    </xf>
    <xf numFmtId="178" fontId="22" fillId="0" borderId="5">
      <alignment horizontal="right" vertical="center" wrapText="1"/>
    </xf>
    <xf numFmtId="178" fontId="22" fillId="0" borderId="5">
      <alignment horizontal="right" vertical="center" wrapText="1"/>
    </xf>
    <xf numFmtId="0" fontId="44" fillId="0" borderId="7">
      <alignment horizontal="left" vertical="center"/>
    </xf>
    <xf numFmtId="178" fontId="22" fillId="0" borderId="5" applyProtection="0">
      <alignment horizontal="right" vertical="center" wrapText="1"/>
    </xf>
    <xf numFmtId="178" fontId="22" fillId="0" borderId="5">
      <alignment horizontal="righ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53" fillId="0" borderId="25">
      <alignment horizontal="center" vertical="center"/>
    </xf>
    <xf numFmtId="10" fontId="22" fillId="0" borderId="0" applyFont="0" applyFill="0" applyBorder="0" applyAlignment="0" applyProtection="0">
      <alignment vertical="center"/>
    </xf>
    <xf numFmtId="10" fontId="22" fillId="0" borderId="0"/>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0" fontId="53" fillId="0" borderId="25">
      <alignment horizontal="center" vertical="center"/>
    </xf>
    <xf numFmtId="10" fontId="22" fillId="0" borderId="0" applyFont="0" applyFill="0" applyBorder="0" applyAlignment="0" applyProtection="0">
      <alignment vertical="center"/>
    </xf>
    <xf numFmtId="10" fontId="22" fillId="0" borderId="0" applyFont="0" applyFill="0" applyBorder="0" applyAlignment="0" applyProtection="0">
      <alignmen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0" fontId="44" fillId="0" borderId="7">
      <alignment horizontal="left" vertical="center"/>
    </xf>
    <xf numFmtId="184" fontId="22" fillId="0" borderId="0" applyFont="0" applyFill="0" applyBorder="0" applyAlignment="0" applyProtection="0"/>
    <xf numFmtId="49" fontId="5" fillId="0" borderId="5">
      <alignment vertical="center" wrapText="1"/>
    </xf>
    <xf numFmtId="0" fontId="44" fillId="0" borderId="7">
      <alignment horizontal="left" vertical="center"/>
    </xf>
    <xf numFmtId="49" fontId="5" fillId="0" borderId="5">
      <alignment vertical="center" wrapText="1"/>
    </xf>
    <xf numFmtId="0" fontId="44" fillId="0" borderId="7">
      <alignment horizontal="left" vertical="center"/>
    </xf>
    <xf numFmtId="0" fontId="44" fillId="0" borderId="7">
      <alignment horizontal="left" vertical="center"/>
    </xf>
    <xf numFmtId="0" fontId="38" fillId="5" borderId="0">
      <alignmen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53" fillId="0" borderId="25">
      <alignment horizontal="center"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0" fontId="53" fillId="0" borderId="25">
      <alignment horizontal="center"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pplyProtection="0">
      <alignment horizontal="center" vertical="center" wrapText="1"/>
    </xf>
    <xf numFmtId="0" fontId="44" fillId="0" borderId="7">
      <alignment horizontal="left" vertical="center"/>
    </xf>
    <xf numFmtId="15" fontId="22" fillId="0" borderId="0" applyFont="0" applyFill="0" applyBorder="0" applyAlignment="0" applyProtection="0"/>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53" fillId="0" borderId="25">
      <alignment horizontal="center" vertical="center"/>
    </xf>
    <xf numFmtId="0" fontId="44" fillId="0" borderId="7">
      <alignment horizontal="left" vertical="center"/>
    </xf>
    <xf numFmtId="49" fontId="5" fillId="0" borderId="5">
      <alignment vertical="center" wrapText="1"/>
    </xf>
    <xf numFmtId="49" fontId="5" fillId="0" borderId="5">
      <alignment vertical="center" wrapText="1"/>
    </xf>
    <xf numFmtId="0" fontId="53" fillId="0" borderId="25">
      <alignment horizontal="center" vertical="center"/>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0" fontId="22" fillId="6" borderId="7"/>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19" fillId="0" borderId="0">
      <alignment vertical="center"/>
    </xf>
    <xf numFmtId="0" fontId="44" fillId="0" borderId="7">
      <alignment horizontal="left" vertical="center"/>
    </xf>
    <xf numFmtId="0" fontId="19" fillId="0" borderId="0"/>
    <xf numFmtId="0" fontId="19" fillId="0" borderId="0"/>
    <xf numFmtId="0" fontId="44" fillId="0" borderId="7">
      <alignment horizontal="left" vertical="center"/>
    </xf>
    <xf numFmtId="0" fontId="19" fillId="0" borderId="0"/>
    <xf numFmtId="0" fontId="19" fillId="0" borderId="0"/>
    <xf numFmtId="0" fontId="44" fillId="0" borderId="7">
      <alignment horizontal="left" vertical="center"/>
    </xf>
    <xf numFmtId="0" fontId="19" fillId="0" borderId="0"/>
    <xf numFmtId="0" fontId="19" fillId="0" borderId="0"/>
    <xf numFmtId="0" fontId="44" fillId="0" borderId="7">
      <alignment horizontal="left" vertical="center"/>
    </xf>
    <xf numFmtId="0" fontId="19" fillId="0" borderId="0"/>
    <xf numFmtId="0" fontId="43" fillId="7" borderId="3">
      <alignment vertical="center"/>
      <protection locked="0"/>
    </xf>
    <xf numFmtId="0" fontId="44" fillId="0" borderId="7">
      <alignment horizontal="left" vertical="center"/>
    </xf>
    <xf numFmtId="0" fontId="19" fillId="0" borderId="0"/>
    <xf numFmtId="0" fontId="43" fillId="7" borderId="3">
      <alignment vertical="center"/>
      <protection locked="0"/>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53" fillId="0" borderId="25">
      <alignment horizontal="center" vertical="center"/>
    </xf>
    <xf numFmtId="0" fontId="44" fillId="0" borderId="7">
      <alignment horizontal="left" vertical="center"/>
    </xf>
    <xf numFmtId="49" fontId="5" fillId="0" borderId="5">
      <alignment vertical="center" wrapText="1"/>
    </xf>
    <xf numFmtId="49" fontId="5" fillId="0" borderId="5">
      <alignment vertical="center" wrapText="1"/>
    </xf>
    <xf numFmtId="0" fontId="53" fillId="0" borderId="25">
      <alignment horizontal="center" vertical="center"/>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53" fillId="0" borderId="25">
      <alignment horizontal="center" vertical="center"/>
    </xf>
    <xf numFmtId="0" fontId="44" fillId="0" borderId="7">
      <alignment horizontal="left" vertical="center"/>
    </xf>
    <xf numFmtId="49" fontId="5" fillId="0" borderId="5">
      <alignment vertical="center" wrapText="1"/>
    </xf>
    <xf numFmtId="49" fontId="5" fillId="0" borderId="5">
      <alignment vertical="center" wrapText="1"/>
    </xf>
    <xf numFmtId="0" fontId="53" fillId="0" borderId="25">
      <alignment horizontal="center" vertical="center"/>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49" fontId="5" fillId="0" borderId="5">
      <alignment vertical="center" wrapText="1"/>
    </xf>
    <xf numFmtId="49" fontId="5" fillId="0" borderId="5">
      <alignment vertical="center" wrapText="1"/>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0" fontId="44" fillId="0" borderId="7">
      <alignment horizontal="left" vertical="center"/>
    </xf>
    <xf numFmtId="49" fontId="5" fillId="0" borderId="5" applyProtection="0">
      <alignment horizontal="center"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178" fontId="5" fillId="0" borderId="5" applyProtection="0">
      <alignment horizontal="right" vertical="center" wrapText="1"/>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24" fillId="6" borderId="7">
      <alignmen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181" fontId="5" fillId="0" borderId="5">
      <alignment horizontal="right" vertical="center" wrapText="1"/>
    </xf>
    <xf numFmtId="181" fontId="5" fillId="0" borderId="5">
      <alignment horizontal="right" vertical="center" wrapText="1"/>
    </xf>
    <xf numFmtId="0" fontId="44" fillId="0" borderId="7">
      <alignment horizontal="left" vertical="center"/>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4" fontId="24" fillId="0" borderId="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 fontId="22" fillId="0" borderId="0"/>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4"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0" fontId="44" fillId="0" borderId="7">
      <alignment horizontal="left" vertical="center"/>
    </xf>
    <xf numFmtId="0" fontId="44" fillId="0" borderId="7">
      <alignment horizontal="left" vertical="center"/>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0" fontId="44" fillId="0" borderId="7">
      <alignment horizontal="left" vertical="center"/>
    </xf>
    <xf numFmtId="49" fontId="22" fillId="0" borderId="5" applyProtection="0">
      <alignment vertical="center" wrapText="1"/>
    </xf>
    <xf numFmtId="0" fontId="44" fillId="0" borderId="7">
      <alignment horizontal="left" vertical="center"/>
    </xf>
    <xf numFmtId="0" fontId="44" fillId="0" borderId="7">
      <alignment horizontal="left" vertical="center"/>
    </xf>
    <xf numFmtId="0" fontId="44" fillId="0" borderId="7">
      <alignment horizontal="left" vertical="center"/>
    </xf>
    <xf numFmtId="0" fontId="44" fillId="0" borderId="7">
      <alignment horizontal="left" vertical="center"/>
    </xf>
    <xf numFmtId="0" fontId="53" fillId="0" borderId="25">
      <alignment horizont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xf>
    <xf numFmtId="181" fontId="22" fillId="0" borderId="5">
      <alignment horizontal="right" vertical="center" wrapText="1"/>
    </xf>
    <xf numFmtId="181" fontId="22" fillId="0" borderId="5">
      <alignment horizontal="right" vertical="center" wrapText="1"/>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25">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181" fontId="5" fillId="0" borderId="5">
      <alignment horizontal="right" vertical="center" wrapText="1"/>
    </xf>
    <xf numFmtId="181" fontId="5" fillId="0" borderId="5">
      <alignment horizontal="right" vertical="center" wrapText="1"/>
    </xf>
    <xf numFmtId="0" fontId="53" fillId="0" borderId="0">
      <alignment horizontal="center" vertical="center"/>
    </xf>
    <xf numFmtId="181" fontId="5" fillId="0" borderId="5">
      <alignment horizontal="right" vertical="center" wrapText="1"/>
    </xf>
    <xf numFmtId="181" fontId="5" fillId="0" borderId="5">
      <alignment horizontal="right" vertical="center" wrapText="1"/>
    </xf>
    <xf numFmtId="0" fontId="53" fillId="0" borderId="0">
      <alignment horizontal="center" vertical="center"/>
    </xf>
    <xf numFmtId="0" fontId="53" fillId="0" borderId="0">
      <alignment horizontal="center" vertical="center"/>
    </xf>
    <xf numFmtId="0" fontId="82" fillId="0" borderId="12" applyNumberFormat="0" applyFill="0" applyProtection="0">
      <alignment horizontal="center"/>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0" fontId="22" fillId="6" borderId="7"/>
    <xf numFmtId="0" fontId="53" fillId="0" borderId="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53" fillId="0" borderId="0">
      <alignment horizontal="center" vertical="center"/>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181" fontId="22" fillId="0" borderId="5">
      <alignment horizontal="right" vertical="center" wrapText="1"/>
    </xf>
    <xf numFmtId="49" fontId="22" fillId="0" borderId="5" applyProtection="0">
      <alignment horizontal="center"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181" fontId="22" fillId="0" borderId="5">
      <alignment horizontal="right" vertical="center" wrapText="1"/>
    </xf>
    <xf numFmtId="181" fontId="22" fillId="0" borderId="5">
      <alignment horizontal="right" vertical="center" wrapText="1"/>
    </xf>
    <xf numFmtId="0" fontId="53" fillId="0" borderId="0">
      <alignment horizontal="center" vertical="center"/>
    </xf>
    <xf numFmtId="49" fontId="22" fillId="0" borderId="5" applyProtection="0">
      <alignment horizontal="center" vertical="center" wrapText="1"/>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36" fillId="0" borderId="0"/>
    <xf numFmtId="181" fontId="5" fillId="0" borderId="5">
      <alignment horizontal="right" vertical="center" wrapText="1"/>
    </xf>
    <xf numFmtId="181" fontId="5" fillId="0" borderId="5">
      <alignment horizontal="right" vertical="center" wrapText="1"/>
    </xf>
    <xf numFmtId="0" fontId="109" fillId="0" borderId="5">
      <alignment vertical="center" wrapText="1"/>
    </xf>
    <xf numFmtId="0" fontId="38" fillId="5" borderId="5" applyNumberFormat="0" applyBorder="0" applyAlignment="0" applyProtection="0"/>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lignment vertical="center" wrapText="1"/>
    </xf>
    <xf numFmtId="49" fontId="22" fillId="0" borderId="5">
      <alignment vertical="center" wrapText="1"/>
    </xf>
    <xf numFmtId="0" fontId="38" fillId="5" borderId="5" applyNumberFormat="0" applyBorder="0" applyAlignment="0" applyProtection="0">
      <alignment vertical="center"/>
    </xf>
    <xf numFmtId="49" fontId="22" fillId="0" borderId="5">
      <alignment vertical="center" wrapText="1"/>
    </xf>
    <xf numFmtId="49" fontId="22" fillId="0" borderId="5">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0" fontId="38" fillId="5" borderId="0"/>
    <xf numFmtId="0" fontId="38" fillId="5" borderId="0"/>
    <xf numFmtId="0" fontId="38" fillId="5" borderId="5" applyNumberFormat="0" applyBorder="0" applyAlignment="0" applyProtection="0">
      <alignment vertical="center"/>
    </xf>
    <xf numFmtId="178" fontId="22" fillId="0" borderId="5" applyProtection="0">
      <alignment horizontal="right" vertical="center" wrapText="1"/>
    </xf>
    <xf numFmtId="178" fontId="22"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6" fontId="48"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38" fillId="5" borderId="5" applyNumberFormat="0" applyBorder="0" applyAlignment="0" applyProtection="0">
      <alignment vertical="center"/>
    </xf>
    <xf numFmtId="10" fontId="38" fillId="5" borderId="5" applyNumberFormat="0" applyBorder="0" applyAlignment="0" applyProtection="0"/>
    <xf numFmtId="0" fontId="45" fillId="6" borderId="7" applyNumberFormat="0" applyFont="0" applyAlignment="0">
      <alignment horizontal="center"/>
    </xf>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22" fillId="6" borderId="7" applyNumberFormat="0" applyFont="0" applyAlignment="0">
      <alignment horizontal="center" vertical="center"/>
    </xf>
    <xf numFmtId="0" fontId="45" fillId="6" borderId="7" applyNumberFormat="0" applyFont="0" applyAlignment="0">
      <alignment horizont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0" fontId="38" fillId="5"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1"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43" fillId="7" borderId="3">
      <alignment vertical="center"/>
      <protection locked="0"/>
    </xf>
    <xf numFmtId="181"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0"/>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204" fontId="22" fillId="0" borderId="0" applyFont="0" applyFill="0" applyBorder="0" applyAlignment="0" applyProtection="0"/>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38" fillId="5"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lignment horizontal="center" vertical="center" wrapText="1"/>
    </xf>
    <xf numFmtId="49" fontId="22" fillId="0" borderId="5">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22" fillId="6" borderId="7" applyNumberFormat="0" applyFont="0" applyAlignment="0">
      <alignment horizontal="center" vertical="center"/>
    </xf>
    <xf numFmtId="0" fontId="45" fillId="6" borderId="7" applyNumberFormat="0" applyFont="0" applyAlignment="0">
      <alignment horizontal="center"/>
    </xf>
    <xf numFmtId="49" fontId="22"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0"/>
    <xf numFmtId="178" fontId="22" fillId="0" borderId="5">
      <alignment horizontal="right" vertical="center" wrapText="1"/>
    </xf>
    <xf numFmtId="178" fontId="22"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0"/>
    <xf numFmtId="0" fontId="38" fillId="5" borderId="5" applyNumberFormat="0" applyBorder="0" applyAlignment="0" applyProtection="0">
      <alignment vertical="center"/>
    </xf>
    <xf numFmtId="178" fontId="5" fillId="0" borderId="5">
      <alignment horizontal="right" vertical="center" wrapText="1"/>
    </xf>
    <xf numFmtId="178" fontId="5" fillId="0" borderId="5">
      <alignment horizontal="right" vertical="center" wrapText="1"/>
    </xf>
    <xf numFmtId="0" fontId="38" fillId="5" borderId="0"/>
    <xf numFmtId="40" fontId="35" fillId="0" borderId="0">
      <alignment horizontal="right"/>
    </xf>
    <xf numFmtId="0" fontId="38" fillId="5" borderId="0"/>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10" fontId="38" fillId="5" borderId="5" applyNumberFormat="0" applyBorder="0" applyAlignment="0" applyProtection="0"/>
    <xf numFmtId="0" fontId="38" fillId="5" borderId="5" applyNumberFormat="0" applyBorder="0" applyAlignment="0" applyProtection="0">
      <alignment vertical="center"/>
    </xf>
    <xf numFmtId="0" fontId="38" fillId="5" borderId="5" applyNumberFormat="0" applyBorder="0" applyAlignment="0" applyProtection="0"/>
    <xf numFmtId="0" fontId="38" fillId="5" borderId="0"/>
    <xf numFmtId="10" fontId="38" fillId="5" borderId="5" applyNumberFormat="0" applyBorder="0" applyAlignment="0" applyProtection="0"/>
    <xf numFmtId="10" fontId="38" fillId="5" borderId="5" applyNumberFormat="0" applyBorder="0" applyAlignment="0" applyProtection="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22" fillId="0" borderId="5" applyProtection="0">
      <alignment horizontal="right" vertical="center" wrapText="1"/>
    </xf>
    <xf numFmtId="178" fontId="22"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45" fillId="6" borderId="7" applyNumberFormat="0" applyFont="0" applyAlignment="0">
      <alignment horizont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5" fontId="22" fillId="0" borderId="0"/>
    <xf numFmtId="0" fontId="38" fillId="5" borderId="5" applyNumberFormat="0" applyBorder="0" applyAlignment="0" applyProtection="0">
      <alignment vertical="center"/>
    </xf>
    <xf numFmtId="0" fontId="38" fillId="5" borderId="5" applyNumberFormat="0" applyBorder="0" applyAlignment="0" applyProtection="0">
      <alignment vertical="center"/>
    </xf>
    <xf numFmtId="15" fontId="22" fillId="0" borderId="0" applyFont="0" applyFill="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1" fontId="22"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6" fontId="48" fillId="0" borderId="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49" fontId="5" fillId="0" borderId="5" applyProtection="0">
      <alignment horizontal="center" vertical="center" wrapText="1"/>
    </xf>
    <xf numFmtId="49" fontId="5" fillId="0" borderId="5" applyProtection="0">
      <alignment horizontal="center" vertical="center" wrapText="1"/>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0" fontId="38" fillId="5" borderId="5" applyNumberFormat="0" applyBorder="0" applyAlignment="0" applyProtection="0">
      <alignment vertical="center"/>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0" fontId="70" fillId="24" borderId="0">
      <alignment vertical="center"/>
    </xf>
    <xf numFmtId="180" fontId="70" fillId="24" borderId="0">
      <alignment vertical="center"/>
    </xf>
    <xf numFmtId="49" fontId="22" fillId="0" borderId="5">
      <alignment horizontal="center" vertical="center" wrapText="1"/>
    </xf>
    <xf numFmtId="180" fontId="70" fillId="24" borderId="0">
      <alignment vertical="center"/>
    </xf>
    <xf numFmtId="49" fontId="22" fillId="0" borderId="5">
      <alignment horizontal="center" vertical="center" wrapText="1"/>
    </xf>
    <xf numFmtId="180" fontId="70" fillId="24" borderId="0"/>
    <xf numFmtId="180" fontId="70" fillId="24" borderId="0">
      <alignment vertical="center"/>
    </xf>
    <xf numFmtId="180" fontId="70" fillId="24" borderId="0"/>
    <xf numFmtId="180" fontId="70" fillId="24" borderId="0"/>
    <xf numFmtId="180" fontId="70" fillId="24" borderId="0">
      <alignment vertical="center"/>
    </xf>
    <xf numFmtId="180" fontId="70" fillId="24" borderId="0"/>
    <xf numFmtId="180" fontId="70" fillId="24" borderId="0">
      <alignment vertical="center"/>
    </xf>
    <xf numFmtId="180" fontId="70" fillId="24" borderId="0">
      <alignment vertical="center"/>
    </xf>
    <xf numFmtId="49" fontId="22" fillId="0" borderId="5" applyProtection="0">
      <alignment vertical="center" wrapText="1"/>
    </xf>
    <xf numFmtId="180" fontId="70" fillId="24" borderId="0">
      <alignment vertical="center"/>
    </xf>
    <xf numFmtId="180" fontId="70" fillId="24" borderId="0">
      <alignment vertical="center"/>
    </xf>
    <xf numFmtId="180" fontId="70" fillId="24" borderId="0">
      <alignment vertical="center"/>
    </xf>
    <xf numFmtId="180" fontId="70" fillId="24" borderId="0">
      <alignment vertical="center"/>
    </xf>
    <xf numFmtId="180" fontId="70" fillId="24" borderId="0">
      <alignment vertical="center"/>
    </xf>
    <xf numFmtId="180" fontId="70" fillId="24" borderId="0">
      <alignment vertical="center"/>
    </xf>
    <xf numFmtId="49" fontId="22" fillId="0" borderId="5" applyProtection="0">
      <alignment vertical="center" wrapText="1"/>
    </xf>
    <xf numFmtId="180" fontId="70" fillId="24" borderId="0">
      <alignment vertical="center"/>
    </xf>
    <xf numFmtId="180" fontId="70" fillId="24" borderId="0"/>
    <xf numFmtId="180" fontId="70" fillId="24" borderId="0">
      <alignment vertical="center"/>
    </xf>
    <xf numFmtId="180" fontId="70" fillId="24" borderId="0"/>
    <xf numFmtId="180" fontId="70" fillId="24" borderId="0">
      <alignment vertical="center"/>
    </xf>
    <xf numFmtId="180" fontId="70" fillId="24" borderId="0"/>
    <xf numFmtId="0" fontId="58" fillId="0" borderId="4" applyNumberFormat="0" applyFill="0" applyProtection="0">
      <alignment horizontal="center"/>
    </xf>
    <xf numFmtId="180" fontId="70" fillId="24" borderId="0">
      <alignment vertical="center"/>
    </xf>
    <xf numFmtId="49" fontId="5" fillId="0" borderId="5">
      <alignment horizontal="center" vertical="center" wrapText="1"/>
    </xf>
    <xf numFmtId="49" fontId="5" fillId="0" borderId="5">
      <alignment horizontal="center" vertical="center" wrapText="1"/>
    </xf>
    <xf numFmtId="180" fontId="70" fillId="24" borderId="0"/>
    <xf numFmtId="178" fontId="5"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80" fontId="70" fillId="24" borderId="0"/>
    <xf numFmtId="180" fontId="70" fillId="24" borderId="0"/>
    <xf numFmtId="180" fontId="70" fillId="24" borderId="0"/>
    <xf numFmtId="180" fontId="70" fillId="24" borderId="0"/>
    <xf numFmtId="49" fontId="22" fillId="0" borderId="5" applyProtection="0">
      <alignment vertical="center" wrapText="1"/>
    </xf>
    <xf numFmtId="180" fontId="70" fillId="24" borderId="0"/>
    <xf numFmtId="180" fontId="70" fillId="24" borderId="0"/>
    <xf numFmtId="49" fontId="22" fillId="0" borderId="5" applyProtection="0">
      <alignment vertical="center" wrapText="1"/>
    </xf>
    <xf numFmtId="180" fontId="70" fillId="24" borderId="0"/>
    <xf numFmtId="180" fontId="70" fillId="24" borderId="0"/>
    <xf numFmtId="49" fontId="22" fillId="0" borderId="5" applyProtection="0">
      <alignment vertical="center" wrapText="1"/>
    </xf>
    <xf numFmtId="180" fontId="70" fillId="24" borderId="0"/>
    <xf numFmtId="0" fontId="58" fillId="0" borderId="4" applyNumberFormat="0" applyFill="0" applyProtection="0">
      <alignment horizontal="center" vertical="center"/>
    </xf>
    <xf numFmtId="180" fontId="70" fillId="24" borderId="0"/>
    <xf numFmtId="49" fontId="22" fillId="0" borderId="5" applyProtection="0">
      <alignment vertical="center" wrapText="1"/>
    </xf>
    <xf numFmtId="180" fontId="70" fillId="24" borderId="0"/>
    <xf numFmtId="0" fontId="58" fillId="0" borderId="4" applyNumberFormat="0" applyFill="0" applyProtection="0">
      <alignment horizontal="center" vertical="center"/>
    </xf>
    <xf numFmtId="180" fontId="70" fillId="24" borderId="0"/>
    <xf numFmtId="180" fontId="70" fillId="24" borderId="0"/>
    <xf numFmtId="49" fontId="22" fillId="0" borderId="5" applyProtection="0">
      <alignment vertical="center" wrapText="1"/>
    </xf>
    <xf numFmtId="180" fontId="70" fillId="24" borderId="0"/>
    <xf numFmtId="0" fontId="58" fillId="0" borderId="4" applyNumberFormat="0" applyFill="0" applyProtection="0">
      <alignment horizontal="center" vertical="center"/>
    </xf>
    <xf numFmtId="180" fontId="70" fillId="24" borderId="0"/>
    <xf numFmtId="180" fontId="70" fillId="24" borderId="0"/>
    <xf numFmtId="180" fontId="70" fillId="24" borderId="0"/>
    <xf numFmtId="0" fontId="58" fillId="0" borderId="4" applyNumberFormat="0" applyFill="0" applyProtection="0">
      <alignment horizontal="center"/>
    </xf>
    <xf numFmtId="180" fontId="70" fillId="24" borderId="0"/>
    <xf numFmtId="180" fontId="70" fillId="24" borderId="0"/>
    <xf numFmtId="180" fontId="70" fillId="24" borderId="0"/>
    <xf numFmtId="0" fontId="58" fillId="0" borderId="4">
      <alignment horizontal="center"/>
    </xf>
    <xf numFmtId="0" fontId="58" fillId="0" borderId="4" applyNumberFormat="0" applyFill="0" applyProtection="0">
      <alignment horizontal="center" vertical="center"/>
    </xf>
    <xf numFmtId="180" fontId="70" fillId="24" borderId="0"/>
    <xf numFmtId="180" fontId="70" fillId="24" borderId="0"/>
    <xf numFmtId="180" fontId="70" fillId="24" borderId="0"/>
    <xf numFmtId="180" fontId="70" fillId="24" borderId="0"/>
    <xf numFmtId="180" fontId="70" fillId="24" borderId="0"/>
    <xf numFmtId="180" fontId="70" fillId="24" borderId="0"/>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81" fontId="22" fillId="0" borderId="5" applyProtection="0">
      <alignment horizontal="right" vertical="center" wrapText="1"/>
    </xf>
    <xf numFmtId="181" fontId="22" fillId="0" borderId="5" applyProtection="0">
      <alignment horizontal="right" vertical="center" wrapText="1"/>
    </xf>
    <xf numFmtId="180" fontId="70" fillId="24" borderId="0"/>
    <xf numFmtId="180" fontId="70" fillId="24" borderId="0"/>
    <xf numFmtId="180" fontId="70" fillId="24" borderId="0"/>
    <xf numFmtId="180" fontId="70" fillId="24" borderId="0"/>
    <xf numFmtId="180" fontId="70" fillId="24" borderId="0">
      <alignment vertical="center"/>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180" fontId="70" fillId="24"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180" fontId="70" fillId="24" borderId="0">
      <alignment vertical="center"/>
    </xf>
    <xf numFmtId="181" fontId="5" fillId="0" borderId="5" applyProtection="0">
      <alignment horizontal="right" vertical="center" wrapText="1"/>
    </xf>
    <xf numFmtId="181" fontId="5" fillId="0" borderId="5" applyProtection="0">
      <alignment horizontal="right" vertical="center" wrapText="1"/>
    </xf>
    <xf numFmtId="180" fontId="70" fillId="24" borderId="0">
      <alignment vertical="center"/>
    </xf>
    <xf numFmtId="178" fontId="5" fillId="0" borderId="5" applyProtection="0">
      <alignment horizontal="right" vertical="center" wrapText="1"/>
    </xf>
    <xf numFmtId="178" fontId="5" fillId="0" borderId="5" applyProtection="0">
      <alignment horizontal="right" vertical="center" wrapText="1"/>
    </xf>
    <xf numFmtId="180" fontId="70" fillId="24" borderId="0">
      <alignment vertical="center"/>
    </xf>
    <xf numFmtId="181" fontId="5" fillId="0" borderId="5">
      <alignment horizontal="right" vertical="center" wrapText="1"/>
    </xf>
    <xf numFmtId="181" fontId="5" fillId="0" borderId="5">
      <alignment horizontal="right" vertical="center" wrapText="1"/>
    </xf>
    <xf numFmtId="180" fontId="70" fillId="24" borderId="0">
      <alignment vertical="center"/>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80" fontId="70" fillId="24" borderId="0">
      <alignment vertical="center"/>
    </xf>
    <xf numFmtId="180" fontId="70" fillId="24" borderId="0">
      <alignment vertical="center"/>
    </xf>
    <xf numFmtId="178" fontId="5" fillId="0" borderId="5" applyProtection="0">
      <alignment horizontal="right" vertical="center" wrapText="1"/>
    </xf>
    <xf numFmtId="178" fontId="5" fillId="0" borderId="5" applyProtection="0">
      <alignment horizontal="right" vertical="center" wrapText="1"/>
    </xf>
    <xf numFmtId="180" fontId="70" fillId="24" borderId="0">
      <alignment vertical="center"/>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80" fontId="70" fillId="24" borderId="0">
      <alignment vertical="center"/>
    </xf>
    <xf numFmtId="180" fontId="70" fillId="24" borderId="0">
      <alignment vertical="center"/>
    </xf>
    <xf numFmtId="0" fontId="36" fillId="0" borderId="0"/>
    <xf numFmtId="0" fontId="36"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36" fillId="0" borderId="0">
      <alignment vertical="center"/>
    </xf>
    <xf numFmtId="0" fontId="22" fillId="0" borderId="0"/>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49" fontId="5" fillId="0" borderId="5" applyProtection="0">
      <alignment vertical="center" wrapText="1"/>
    </xf>
    <xf numFmtId="0" fontId="36" fillId="0" borderId="0">
      <alignment vertical="center"/>
    </xf>
    <xf numFmtId="49" fontId="5" fillId="0" borderId="5" applyProtection="0">
      <alignment vertical="center" wrapText="1"/>
    </xf>
    <xf numFmtId="0" fontId="36" fillId="0" borderId="0"/>
    <xf numFmtId="0" fontId="36" fillId="0" borderId="0"/>
    <xf numFmtId="0" fontId="36" fillId="0" borderId="0"/>
    <xf numFmtId="0" fontId="36" fillId="0" borderId="0"/>
    <xf numFmtId="49" fontId="22" fillId="0" borderId="5">
      <alignment horizontal="center" vertical="center" wrapText="1"/>
    </xf>
    <xf numFmtId="49" fontId="22" fillId="0" borderId="5">
      <alignment horizontal="center" vertical="center" wrapText="1"/>
    </xf>
    <xf numFmtId="0" fontId="36" fillId="0" borderId="0"/>
    <xf numFmtId="0" fontId="36" fillId="0" borderId="0"/>
    <xf numFmtId="49" fontId="22" fillId="0" borderId="5">
      <alignment horizontal="center" vertical="center" wrapText="1"/>
    </xf>
    <xf numFmtId="49" fontId="22" fillId="0" borderId="5">
      <alignment horizontal="center" vertical="center" wrapText="1"/>
    </xf>
    <xf numFmtId="0" fontId="36" fillId="0" borderId="0"/>
    <xf numFmtId="49" fontId="22" fillId="0" borderId="5">
      <alignment horizontal="center" vertical="center" wrapText="1"/>
    </xf>
    <xf numFmtId="49" fontId="22" fillId="0" borderId="5">
      <alignment horizontal="center" vertical="center" wrapText="1"/>
    </xf>
    <xf numFmtId="0" fontId="36" fillId="0" borderId="0">
      <alignment vertical="center"/>
    </xf>
    <xf numFmtId="0" fontId="36" fillId="0" borderId="0">
      <alignment vertical="center"/>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81" fontId="5" fillId="0" borderId="5">
      <alignment horizontal="right" vertical="center" wrapText="1"/>
    </xf>
    <xf numFmtId="0" fontId="36" fillId="0" borderId="0">
      <alignment vertical="center"/>
    </xf>
    <xf numFmtId="181" fontId="5" fillId="0" borderId="5">
      <alignment horizontal="right" vertical="center" wrapText="1"/>
    </xf>
    <xf numFmtId="0" fontId="36" fillId="0" borderId="0">
      <alignment vertical="center"/>
    </xf>
    <xf numFmtId="0" fontId="36" fillId="0" borderId="0">
      <alignment vertical="center"/>
    </xf>
    <xf numFmtId="181" fontId="5" fillId="0" borderId="5">
      <alignment horizontal="right" vertical="center" wrapText="1"/>
    </xf>
    <xf numFmtId="0" fontId="36" fillId="0" borderId="0">
      <alignment vertical="center"/>
    </xf>
    <xf numFmtId="181" fontId="5" fillId="0" borderId="5">
      <alignment horizontal="right" vertical="center" wrapText="1"/>
    </xf>
    <xf numFmtId="0" fontId="36" fillId="0" borderId="0">
      <alignment vertical="center"/>
    </xf>
    <xf numFmtId="0" fontId="36" fillId="0" borderId="0">
      <alignment vertical="center"/>
    </xf>
    <xf numFmtId="181" fontId="5" fillId="0" borderId="5">
      <alignment horizontal="right" vertical="center" wrapText="1"/>
    </xf>
    <xf numFmtId="0" fontId="36" fillId="0" borderId="0">
      <alignment vertical="center"/>
    </xf>
    <xf numFmtId="181" fontId="5" fillId="0" borderId="5">
      <alignment horizontal="right" vertical="center" wrapText="1"/>
    </xf>
    <xf numFmtId="0" fontId="36" fillId="0" borderId="0">
      <alignment vertical="center"/>
    </xf>
    <xf numFmtId="0" fontId="36" fillId="0" borderId="0">
      <alignment vertical="center"/>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0" fontId="36" fillId="0" borderId="0">
      <alignment vertical="center"/>
    </xf>
    <xf numFmtId="181"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xf numFmtId="0" fontId="36" fillId="0" borderId="0">
      <alignment vertical="center"/>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49" fontId="22" fillId="0" borderId="5">
      <alignment vertical="center" wrapText="1"/>
    </xf>
    <xf numFmtId="49" fontId="22" fillId="0" borderId="5">
      <alignmen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pplyProtection="0">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36" fillId="0" borderId="0">
      <alignment vertical="center"/>
    </xf>
    <xf numFmtId="181" fontId="5" fillId="0" borderId="5">
      <alignment horizontal="right" vertical="center" wrapText="1"/>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80" fontId="65" fillId="19" borderId="0"/>
    <xf numFmtId="180" fontId="65" fillId="19" borderId="0">
      <alignment vertical="center"/>
    </xf>
    <xf numFmtId="180" fontId="65" fillId="19" borderId="0">
      <alignment vertical="center"/>
    </xf>
    <xf numFmtId="49" fontId="5" fillId="0" borderId="5" applyProtection="0">
      <alignment vertical="center" wrapText="1"/>
    </xf>
    <xf numFmtId="49" fontId="5" fillId="0" borderId="5" applyProtection="0">
      <alignment vertical="center" wrapText="1"/>
    </xf>
    <xf numFmtId="180" fontId="65" fillId="19" borderId="0">
      <alignment vertical="center"/>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0" fontId="65" fillId="19" borderId="0"/>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0" fontId="65" fillId="19" borderId="0"/>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0" fontId="65" fillId="19" borderId="0">
      <alignment vertical="center"/>
    </xf>
    <xf numFmtId="180" fontId="65" fillId="19" borderId="0"/>
    <xf numFmtId="181" fontId="5" fillId="0" borderId="5">
      <alignment horizontal="right" vertical="center" wrapText="1"/>
    </xf>
    <xf numFmtId="181" fontId="5" fillId="0" borderId="5">
      <alignment horizontal="right" vertical="center" wrapText="1"/>
    </xf>
    <xf numFmtId="180" fontId="65" fillId="19" borderId="0">
      <alignment vertical="center"/>
    </xf>
    <xf numFmtId="180" fontId="65" fillId="19" borderId="0">
      <alignment vertical="center"/>
    </xf>
    <xf numFmtId="49" fontId="5" fillId="0" borderId="5" applyProtection="0">
      <alignment vertical="center" wrapText="1"/>
    </xf>
    <xf numFmtId="49" fontId="5" fillId="0" borderId="5" applyProtection="0">
      <alignment vertical="center" wrapText="1"/>
    </xf>
    <xf numFmtId="180" fontId="65" fillId="19" borderId="0">
      <alignment vertical="center"/>
    </xf>
    <xf numFmtId="180" fontId="65" fillId="19" borderId="0">
      <alignment vertical="center"/>
    </xf>
    <xf numFmtId="181" fontId="5" fillId="0" borderId="5">
      <alignment horizontal="right" vertical="center" wrapText="1"/>
    </xf>
    <xf numFmtId="181" fontId="5" fillId="0" borderId="5">
      <alignment horizontal="right" vertical="center" wrapText="1"/>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49" fontId="5" fillId="0" borderId="5" applyProtection="0">
      <alignment vertical="center" wrapText="1"/>
    </xf>
    <xf numFmtId="49" fontId="5" fillId="0" borderId="5" applyProtection="0">
      <alignment vertical="center" wrapText="1"/>
    </xf>
    <xf numFmtId="180" fontId="65" fillId="19" borderId="0">
      <alignment vertical="center"/>
    </xf>
    <xf numFmtId="180" fontId="65" fillId="19" borderId="0"/>
    <xf numFmtId="181" fontId="5" fillId="0" borderId="5">
      <alignment horizontal="right" vertical="center" wrapText="1"/>
    </xf>
    <xf numFmtId="181" fontId="5" fillId="0" borderId="5">
      <alignment horizontal="right" vertical="center" wrapText="1"/>
    </xf>
    <xf numFmtId="180" fontId="65" fillId="19" borderId="0">
      <alignment vertical="center"/>
    </xf>
    <xf numFmtId="180" fontId="65" fillId="19" borderId="0"/>
    <xf numFmtId="180" fontId="65" fillId="19" borderId="0">
      <alignment vertical="center"/>
    </xf>
    <xf numFmtId="180" fontId="65" fillId="19" borderId="0"/>
    <xf numFmtId="180" fontId="65" fillId="19" borderId="0">
      <alignment vertical="center"/>
    </xf>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49" fontId="22" fillId="0" borderId="5">
      <alignment horizontal="center" vertical="center" wrapText="1"/>
    </xf>
    <xf numFmtId="180" fontId="65" fillId="19" borderId="0"/>
    <xf numFmtId="49" fontId="22" fillId="0" borderId="5">
      <alignment horizontal="center" vertical="center" wrapText="1"/>
    </xf>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0" fontId="65" fillId="19" borderId="0"/>
    <xf numFmtId="181" fontId="22" fillId="0" borderId="5">
      <alignment horizontal="right" vertical="center" wrapText="1"/>
    </xf>
    <xf numFmtId="181" fontId="22" fillId="0" borderId="5">
      <alignment horizontal="right" vertical="center" wrapText="1"/>
    </xf>
    <xf numFmtId="180" fontId="65" fillId="19" borderId="0"/>
    <xf numFmtId="180" fontId="65" fillId="19" borderId="0"/>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180" fontId="65" fillId="19" borderId="0">
      <alignment vertical="center"/>
    </xf>
    <xf numFmtId="38" fontId="22" fillId="0" borderId="0" applyFont="0" applyFill="0" applyBorder="0" applyAlignment="0" applyProtection="0"/>
    <xf numFmtId="40" fontId="22" fillId="0" borderId="0" applyFont="0" applyFill="0" applyBorder="0" applyAlignment="0" applyProtection="0"/>
    <xf numFmtId="49" fontId="22" fillId="0" borderId="5" applyProtection="0">
      <alignment horizontal="center" vertical="center" wrapText="1"/>
    </xf>
    <xf numFmtId="49" fontId="22" fillId="0" borderId="5" applyProtection="0">
      <alignment horizontal="center" vertical="center" wrapText="1"/>
    </xf>
    <xf numFmtId="0" fontId="22" fillId="0" borderId="0" applyFont="0" applyFill="0" applyBorder="0" applyAlignment="0" applyProtection="0"/>
    <xf numFmtId="181" fontId="22" fillId="0" borderId="5" applyProtection="0">
      <alignment horizontal="right" vertical="center" wrapText="1"/>
    </xf>
    <xf numFmtId="181"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201" fontId="22" fillId="0" borderId="0" applyFont="0" applyFill="0" applyBorder="0" applyAlignment="0" applyProtection="0"/>
    <xf numFmtId="49" fontId="22" fillId="0" borderId="5">
      <alignment vertical="center" wrapText="1"/>
    </xf>
    <xf numFmtId="49" fontId="22" fillId="0" borderId="5">
      <alignment vertical="center" wrapText="1"/>
    </xf>
    <xf numFmtId="203" fontId="22"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0" fontId="43" fillId="7" borderId="3">
      <alignment vertical="center"/>
      <protection locked="0"/>
    </xf>
    <xf numFmtId="0" fontId="19" fillId="0" borderId="0"/>
    <xf numFmtId="0" fontId="19" fillId="0" borderId="0">
      <alignment vertical="center"/>
    </xf>
    <xf numFmtId="49" fontId="22" fillId="0" borderId="5" applyProtection="0">
      <alignment vertical="center" wrapText="1"/>
    </xf>
    <xf numFmtId="49" fontId="22" fillId="0" borderId="5" applyProtection="0">
      <alignment vertical="center" wrapText="1"/>
    </xf>
    <xf numFmtId="0" fontId="19" fillId="0" borderId="0">
      <alignment vertical="center"/>
    </xf>
    <xf numFmtId="49" fontId="5" fillId="0" borderId="5">
      <alignment vertical="center" wrapText="1"/>
    </xf>
    <xf numFmtId="49" fontId="5" fillId="0" borderId="5">
      <alignment vertical="center" wrapText="1"/>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9" fontId="5" fillId="0" borderId="5">
      <alignment horizontal="center" vertical="center" wrapText="1"/>
    </xf>
    <xf numFmtId="49" fontId="5" fillId="0" borderId="5">
      <alignment horizontal="center" vertical="center" wrapText="1"/>
    </xf>
    <xf numFmtId="0" fontId="19" fillId="0" borderId="0">
      <alignment vertical="center"/>
    </xf>
    <xf numFmtId="181" fontId="5" fillId="0" borderId="5" applyProtection="0">
      <alignment horizontal="right" vertical="center" wrapText="1"/>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19"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0" fontId="19"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19" fillId="0" borderId="0">
      <alignment vertical="center"/>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0" fontId="19" fillId="0" borderId="0">
      <alignment vertical="center"/>
    </xf>
    <xf numFmtId="0" fontId="19" fillId="0" borderId="0">
      <alignment vertical="center"/>
    </xf>
    <xf numFmtId="49" fontId="5" fillId="0" borderId="5" applyProtection="0">
      <alignment vertical="center" wrapText="1"/>
    </xf>
    <xf numFmtId="49" fontId="5" fillId="0" borderId="5" applyProtection="0">
      <alignment vertical="center" wrapText="1"/>
    </xf>
    <xf numFmtId="0" fontId="19" fillId="0" borderId="0">
      <alignment vertical="center"/>
    </xf>
    <xf numFmtId="49" fontId="5" fillId="0" borderId="5" applyProtection="0">
      <alignment vertical="center" wrapText="1"/>
    </xf>
    <xf numFmtId="49" fontId="5" fillId="0" borderId="5" applyProtection="0">
      <alignment vertical="center" wrapText="1"/>
    </xf>
    <xf numFmtId="37" fontId="72" fillId="0" borderId="0"/>
    <xf numFmtId="178" fontId="22" fillId="0" borderId="5">
      <alignment horizontal="right" vertical="center" wrapText="1"/>
    </xf>
    <xf numFmtId="37" fontId="72" fillId="0" borderId="0">
      <alignment vertical="center"/>
    </xf>
    <xf numFmtId="37" fontId="72" fillId="0" borderId="0">
      <alignment vertical="center"/>
    </xf>
    <xf numFmtId="49" fontId="22" fillId="0" borderId="5">
      <alignment horizontal="center" vertical="center" wrapText="1"/>
    </xf>
    <xf numFmtId="49" fontId="22" fillId="0" borderId="5">
      <alignment horizontal="center" vertical="center" wrapText="1"/>
    </xf>
    <xf numFmtId="37" fontId="72" fillId="0" borderId="0">
      <alignment vertical="center"/>
    </xf>
    <xf numFmtId="37" fontId="72" fillId="0" borderId="0">
      <alignment vertical="center"/>
    </xf>
    <xf numFmtId="49" fontId="22" fillId="0" borderId="5" applyProtection="0">
      <alignment horizontal="center" vertical="center" wrapText="1"/>
    </xf>
    <xf numFmtId="37" fontId="72" fillId="0" borderId="0">
      <alignment vertical="center"/>
    </xf>
    <xf numFmtId="49" fontId="22" fillId="0" borderId="5" applyProtection="0">
      <alignment horizontal="center" vertical="center" wrapText="1"/>
    </xf>
    <xf numFmtId="37" fontId="72" fillId="0" borderId="0">
      <alignment vertical="center"/>
    </xf>
    <xf numFmtId="49" fontId="22" fillId="0" borderId="5" applyProtection="0">
      <alignment horizontal="center" vertical="center" wrapText="1"/>
    </xf>
    <xf numFmtId="37" fontId="72" fillId="0" borderId="0">
      <alignment vertical="center"/>
    </xf>
    <xf numFmtId="49" fontId="22" fillId="0" borderId="5" applyProtection="0">
      <alignment horizontal="center" vertical="center" wrapText="1"/>
    </xf>
    <xf numFmtId="37" fontId="72"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37" fontId="72"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37" fontId="72" fillId="0" borderId="0"/>
    <xf numFmtId="37" fontId="72" fillId="0" borderId="0"/>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37" fontId="72" fillId="0" borderId="0"/>
    <xf numFmtId="37" fontId="72" fillId="0" borderId="0"/>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37" fontId="72" fillId="0" borderId="0"/>
    <xf numFmtId="37" fontId="72" fillId="0" borderId="0"/>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pplyProtection="0">
      <alignment horizontal="center" vertical="center" wrapText="1"/>
    </xf>
    <xf numFmtId="37" fontId="72" fillId="0" borderId="0"/>
    <xf numFmtId="178" fontId="22" fillId="0" borderId="5" applyProtection="0">
      <alignment horizontal="right" vertical="center" wrapText="1"/>
    </xf>
    <xf numFmtId="178" fontId="22" fillId="0" borderId="5" applyProtection="0">
      <alignment horizontal="right" vertical="center" wrapText="1"/>
    </xf>
    <xf numFmtId="37" fontId="72" fillId="0" borderId="0"/>
    <xf numFmtId="178" fontId="22" fillId="0" borderId="5" applyProtection="0">
      <alignment horizontal="right" vertical="center" wrapText="1"/>
    </xf>
    <xf numFmtId="178" fontId="22" fillId="0" borderId="5" applyProtection="0">
      <alignment horizontal="right" vertical="center" wrapText="1"/>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49" fontId="5" fillId="0" borderId="5">
      <alignment horizontal="center" vertical="center" wrapText="1"/>
    </xf>
    <xf numFmtId="49" fontId="5" fillId="0" borderId="5">
      <alignment horizontal="center" vertical="center" wrapText="1"/>
    </xf>
    <xf numFmtId="37" fontId="72" fillId="0" borderId="0">
      <alignment vertical="center"/>
    </xf>
    <xf numFmtId="37" fontId="72" fillId="0" borderId="0">
      <alignment vertical="center"/>
    </xf>
    <xf numFmtId="37" fontId="72" fillId="0" borderId="0">
      <alignment vertical="center"/>
    </xf>
    <xf numFmtId="49" fontId="5" fillId="0" borderId="5">
      <alignment horizontal="center" vertical="center" wrapText="1"/>
    </xf>
    <xf numFmtId="49" fontId="5" fillId="0" borderId="5">
      <alignment horizontal="center" vertical="center" wrapText="1"/>
    </xf>
    <xf numFmtId="37" fontId="72" fillId="0" borderId="0">
      <alignment vertical="center"/>
    </xf>
    <xf numFmtId="37" fontId="72"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37" fontId="72" fillId="0" borderId="0">
      <alignment vertical="center"/>
    </xf>
    <xf numFmtId="37" fontId="72" fillId="0" borderId="0"/>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49" fontId="5" fillId="0" borderId="5">
      <alignment horizontal="center" vertical="center" wrapText="1"/>
    </xf>
    <xf numFmtId="49" fontId="5" fillId="0" borderId="5">
      <alignment horizontal="center" vertical="center" wrapText="1"/>
    </xf>
    <xf numFmtId="37" fontId="72" fillId="0" borderId="0">
      <alignment vertical="center"/>
    </xf>
    <xf numFmtId="37" fontId="72" fillId="0" borderId="0">
      <alignment vertical="center"/>
    </xf>
    <xf numFmtId="37" fontId="72" fillId="0" borderId="0">
      <alignment vertical="center"/>
    </xf>
    <xf numFmtId="49" fontId="5" fillId="0" borderId="5">
      <alignment horizontal="center" vertical="center" wrapText="1"/>
    </xf>
    <xf numFmtId="49" fontId="5" fillId="0" borderId="5">
      <alignment horizontal="center" vertical="center" wrapText="1"/>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37" fontId="72" fillId="0" borderId="0">
      <alignment vertical="center"/>
    </xf>
    <xf numFmtId="178" fontId="5" fillId="0" borderId="5" applyProtection="0">
      <alignment horizontal="right" vertical="center" wrapText="1"/>
    </xf>
    <xf numFmtId="37" fontId="72" fillId="0" borderId="0">
      <alignment vertical="center"/>
    </xf>
    <xf numFmtId="37" fontId="72" fillId="0" borderId="0">
      <alignment vertical="center"/>
    </xf>
    <xf numFmtId="37" fontId="72" fillId="0" borderId="0">
      <alignment vertical="center"/>
    </xf>
    <xf numFmtId="0" fontId="6" fillId="0" borderId="0"/>
    <xf numFmtId="186" fontId="48" fillId="0" borderId="0"/>
    <xf numFmtId="49" fontId="5" fillId="0" borderId="5">
      <alignment vertical="center" wrapText="1"/>
    </xf>
    <xf numFmtId="186" fontId="48"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86" fontId="48" fillId="0" borderId="0">
      <alignment vertical="center"/>
    </xf>
    <xf numFmtId="186" fontId="48" fillId="0" borderId="0">
      <alignment vertical="center"/>
    </xf>
    <xf numFmtId="186" fontId="48"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186" fontId="48"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186" fontId="48" fillId="0" borderId="0">
      <alignment vertic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186" fontId="48" fillId="0" borderId="0">
      <alignment vertical="center"/>
    </xf>
    <xf numFmtId="0" fontId="51" fillId="0" borderId="38" applyNumberFormat="0" applyFill="0" applyAlignment="0" applyProtection="0">
      <alignment vertical="center"/>
    </xf>
    <xf numFmtId="186" fontId="48" fillId="0" borderId="0">
      <alignment vertical="center"/>
    </xf>
    <xf numFmtId="0" fontId="51" fillId="0" borderId="38" applyNumberFormat="0" applyFill="0" applyAlignment="0" applyProtection="0">
      <alignment vertical="center"/>
    </xf>
    <xf numFmtId="186" fontId="48" fillId="0" borderId="0"/>
    <xf numFmtId="186" fontId="48" fillId="0" borderId="0"/>
    <xf numFmtId="186" fontId="48" fillId="0" borderId="0"/>
    <xf numFmtId="186" fontId="48" fillId="0" borderId="0"/>
    <xf numFmtId="186" fontId="48" fillId="0" borderId="0">
      <alignment vertical="center"/>
    </xf>
    <xf numFmtId="178" fontId="5" fillId="0" borderId="5">
      <alignment horizontal="right" vertical="center" wrapText="1"/>
    </xf>
    <xf numFmtId="178" fontId="5" fillId="0" borderId="5">
      <alignment horizontal="right" vertical="center" wrapText="1"/>
    </xf>
    <xf numFmtId="186" fontId="48" fillId="0" borderId="0">
      <alignment vertical="center"/>
    </xf>
    <xf numFmtId="14" fontId="40" fillId="0" borderId="0">
      <alignment horizontal="center" vertical="center" wrapText="1"/>
      <protection locked="0"/>
    </xf>
    <xf numFmtId="186" fontId="48" fillId="0" borderId="0">
      <alignment vertical="center"/>
    </xf>
    <xf numFmtId="178" fontId="22" fillId="0" borderId="5">
      <alignment horizontal="right" vertical="center" wrapText="1"/>
    </xf>
    <xf numFmtId="49" fontId="5" fillId="0" borderId="5">
      <alignment horizontal="center" vertical="center" wrapText="1"/>
    </xf>
    <xf numFmtId="186" fontId="48" fillId="0" borderId="0">
      <alignment vertical="center"/>
    </xf>
    <xf numFmtId="178" fontId="22" fillId="0" borderId="5">
      <alignment horizontal="right" vertical="center" wrapText="1"/>
    </xf>
    <xf numFmtId="186" fontId="48" fillId="0" borderId="0">
      <alignment vertical="center"/>
    </xf>
    <xf numFmtId="186" fontId="48" fillId="0" borderId="0">
      <alignment vertical="center"/>
    </xf>
    <xf numFmtId="0" fontId="22" fillId="6" borderId="7"/>
    <xf numFmtId="178" fontId="22" fillId="0" borderId="5">
      <alignment horizontal="right" vertical="center" wrapText="1"/>
    </xf>
    <xf numFmtId="186" fontId="48" fillId="0" borderId="0">
      <alignment vertical="center"/>
    </xf>
    <xf numFmtId="178" fontId="22" fillId="0" borderId="5">
      <alignment horizontal="right" vertical="center" wrapText="1"/>
    </xf>
    <xf numFmtId="186" fontId="48" fillId="0" borderId="0">
      <alignment vertical="center"/>
    </xf>
    <xf numFmtId="186" fontId="48" fillId="0" borderId="0">
      <alignment vertical="center"/>
    </xf>
    <xf numFmtId="0" fontId="22" fillId="6" borderId="7"/>
    <xf numFmtId="178" fontId="22" fillId="0" borderId="5">
      <alignment horizontal="right" vertical="center" wrapText="1"/>
    </xf>
    <xf numFmtId="186" fontId="48" fillId="0" borderId="0">
      <alignment vertical="center"/>
    </xf>
    <xf numFmtId="178" fontId="22" fillId="0" borderId="5">
      <alignment horizontal="right" vertical="center" wrapText="1"/>
    </xf>
    <xf numFmtId="186" fontId="48" fillId="0" borderId="0">
      <alignment vertical="center"/>
    </xf>
    <xf numFmtId="178" fontId="5" fillId="0" borderId="5" applyProtection="0">
      <alignment horizontal="right" vertical="center" wrapText="1"/>
    </xf>
    <xf numFmtId="186" fontId="48" fillId="0" borderId="0">
      <alignment vertical="center"/>
    </xf>
    <xf numFmtId="0" fontId="48" fillId="0" borderId="4" applyNumberFormat="0" applyFill="0" applyProtection="0">
      <alignment horizontal="right"/>
    </xf>
    <xf numFmtId="178" fontId="22" fillId="0" borderId="5">
      <alignment horizontal="right" vertical="center" wrapText="1"/>
    </xf>
    <xf numFmtId="186" fontId="48" fillId="0" borderId="0">
      <alignment vertical="center"/>
    </xf>
    <xf numFmtId="0" fontId="48" fillId="0" borderId="4" applyNumberFormat="0" applyFill="0" applyProtection="0">
      <alignment horizontal="right"/>
    </xf>
    <xf numFmtId="178" fontId="22" fillId="0" borderId="5">
      <alignment horizontal="right" vertical="center" wrapText="1"/>
    </xf>
    <xf numFmtId="186" fontId="48" fillId="0" borderId="0">
      <alignment vertical="center"/>
    </xf>
    <xf numFmtId="186" fontId="48" fillId="0" borderId="0">
      <alignment vertical="center"/>
    </xf>
    <xf numFmtId="178" fontId="22" fillId="0" borderId="5">
      <alignment horizontal="right" vertical="center" wrapText="1"/>
    </xf>
    <xf numFmtId="186" fontId="48" fillId="0" borderId="0">
      <alignment vertical="center"/>
    </xf>
    <xf numFmtId="178" fontId="22" fillId="0" borderId="5">
      <alignment horizontal="right" vertical="center" wrapText="1"/>
    </xf>
    <xf numFmtId="186" fontId="48" fillId="0" borderId="0">
      <alignment vertical="center"/>
    </xf>
    <xf numFmtId="186" fontId="48" fillId="0" borderId="0">
      <alignment vertical="center"/>
    </xf>
    <xf numFmtId="178" fontId="22" fillId="0" borderId="5">
      <alignment horizontal="right" vertical="center" wrapText="1"/>
    </xf>
    <xf numFmtId="49" fontId="5" fillId="0" borderId="5">
      <alignment horizontal="center" vertical="center" wrapText="1"/>
    </xf>
    <xf numFmtId="186" fontId="48" fillId="0" borderId="0">
      <alignment vertical="center"/>
    </xf>
    <xf numFmtId="178" fontId="22" fillId="0" borderId="5">
      <alignment horizontal="right" vertical="center" wrapText="1"/>
    </xf>
    <xf numFmtId="186" fontId="48" fillId="0" borderId="0">
      <alignment vertical="center"/>
    </xf>
    <xf numFmtId="186" fontId="48" fillId="0" borderId="0">
      <alignment vertical="center"/>
    </xf>
    <xf numFmtId="186" fontId="48" fillId="0" borderId="0">
      <alignment vertical="center"/>
    </xf>
    <xf numFmtId="186" fontId="48" fillId="0" borderId="0">
      <alignment vertical="center"/>
    </xf>
    <xf numFmtId="186" fontId="48" fillId="0" borderId="0">
      <alignment vertical="center"/>
    </xf>
    <xf numFmtId="186" fontId="48" fillId="0" borderId="0"/>
    <xf numFmtId="178" fontId="5" fillId="0" borderId="5">
      <alignment horizontal="right" vertical="center" wrapText="1"/>
    </xf>
    <xf numFmtId="178" fontId="5" fillId="0" borderId="5">
      <alignment horizontal="right" vertical="center" wrapText="1"/>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49" fontId="22" fillId="0" borderId="5">
      <alignment horizontal="center" vertical="center" wrapText="1"/>
    </xf>
    <xf numFmtId="49" fontId="22" fillId="0" borderId="5">
      <alignment horizontal="center" vertical="center" wrapText="1"/>
    </xf>
    <xf numFmtId="186" fontId="48" fillId="0" borderId="0">
      <alignmen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86" fontId="48" fillId="0" borderId="0">
      <alignment vertical="center"/>
    </xf>
    <xf numFmtId="186" fontId="48" fillId="0" borderId="0">
      <alignment vertical="center"/>
    </xf>
    <xf numFmtId="49" fontId="5" fillId="0" borderId="5">
      <alignment horizontal="center" vertical="center" wrapText="1"/>
    </xf>
    <xf numFmtId="49" fontId="5" fillId="0" borderId="5">
      <alignment horizontal="center" vertical="center" wrapText="1"/>
    </xf>
    <xf numFmtId="186" fontId="48" fillId="0" borderId="0">
      <alignment vertical="center"/>
    </xf>
    <xf numFmtId="186" fontId="48" fillId="0" borderId="0">
      <alignment vertical="center"/>
    </xf>
    <xf numFmtId="186" fontId="48" fillId="0" borderId="0">
      <alignment vertical="center"/>
    </xf>
    <xf numFmtId="0" fontId="22" fillId="6" borderId="7"/>
    <xf numFmtId="186" fontId="48" fillId="0" borderId="0">
      <alignment vertical="center"/>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alignment vertical="center"/>
    </xf>
    <xf numFmtId="0" fontId="22" fillId="6" borderId="7"/>
    <xf numFmtId="186" fontId="48" fillId="0" borderId="0">
      <alignment vertical="center"/>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alignment vertical="center"/>
    </xf>
    <xf numFmtId="186" fontId="48" fillId="0" borderId="0">
      <alignment vertical="center"/>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alignment vertical="center"/>
    </xf>
    <xf numFmtId="186" fontId="48" fillId="0" borderId="0">
      <alignment vertical="center"/>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alignment vertical="center"/>
    </xf>
    <xf numFmtId="49" fontId="5" fillId="0" borderId="5">
      <alignment horizontal="center" vertical="center" wrapText="1"/>
    </xf>
    <xf numFmtId="49" fontId="5" fillId="0" borderId="5">
      <alignment horizontal="center" vertical="center" wrapText="1"/>
    </xf>
    <xf numFmtId="186" fontId="48" fillId="0" borderId="0">
      <alignment vertical="center"/>
    </xf>
    <xf numFmtId="186" fontId="48"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186" fontId="48" fillId="0" borderId="0">
      <alignment vertical="center"/>
    </xf>
    <xf numFmtId="186" fontId="48" fillId="0" borderId="0">
      <alignment vertical="center"/>
    </xf>
    <xf numFmtId="40" fontId="35" fillId="0" borderId="0">
      <alignment horizontal="right"/>
    </xf>
    <xf numFmtId="186" fontId="48" fillId="0" borderId="0">
      <alignment vertical="center"/>
    </xf>
    <xf numFmtId="186" fontId="48" fillId="0" borderId="0">
      <alignment vertical="center"/>
    </xf>
    <xf numFmtId="40" fontId="35" fillId="0" borderId="0">
      <alignment horizontal="right"/>
    </xf>
    <xf numFmtId="186" fontId="48" fillId="0" borderId="0">
      <alignment vertical="center"/>
    </xf>
    <xf numFmtId="178" fontId="5" fillId="0" borderId="5">
      <alignment horizontal="right" vertical="center" wrapText="1"/>
    </xf>
    <xf numFmtId="178" fontId="5" fillId="0" borderId="5">
      <alignment horizontal="right" vertical="center" wrapText="1"/>
    </xf>
    <xf numFmtId="186" fontId="48" fillId="0" borderId="0">
      <alignment vertical="center"/>
    </xf>
    <xf numFmtId="14" fontId="40" fillId="0" borderId="0">
      <alignment horizontal="center" vertical="center" wrapText="1"/>
      <protection locked="0"/>
    </xf>
    <xf numFmtId="186" fontId="48" fillId="0" borderId="0">
      <alignment vertical="center"/>
    </xf>
    <xf numFmtId="186" fontId="48" fillId="0" borderId="0">
      <alignment vertical="center"/>
    </xf>
    <xf numFmtId="186" fontId="48" fillId="0" borderId="0">
      <alignment vertical="center"/>
    </xf>
    <xf numFmtId="186" fontId="48" fillId="0" borderId="0">
      <alignment vertical="center"/>
    </xf>
    <xf numFmtId="186" fontId="48" fillId="0" borderId="0">
      <alignment vertical="center"/>
    </xf>
    <xf numFmtId="49" fontId="22" fillId="0" borderId="5" applyProtection="0">
      <alignment vertical="center" wrapText="1"/>
    </xf>
    <xf numFmtId="49" fontId="22" fillId="0" borderId="5" applyProtection="0">
      <alignment vertical="center" wrapText="1"/>
    </xf>
    <xf numFmtId="186" fontId="48" fillId="0" borderId="0">
      <alignment vertical="center"/>
    </xf>
    <xf numFmtId="186" fontId="48" fillId="0" borderId="0">
      <alignment vertical="center"/>
    </xf>
    <xf numFmtId="186" fontId="48" fillId="0" borderId="0">
      <alignment vertical="center"/>
    </xf>
    <xf numFmtId="186" fontId="48" fillId="0" borderId="0">
      <alignment vertical="center"/>
    </xf>
    <xf numFmtId="0" fontId="47" fillId="0" borderId="0"/>
    <xf numFmtId="49" fontId="5" fillId="0" borderId="5" applyProtection="0">
      <alignment vertical="center" wrapText="1"/>
    </xf>
    <xf numFmtId="49" fontId="5" fillId="0" borderId="5" applyProtection="0">
      <alignment vertical="center" wrapText="1"/>
    </xf>
    <xf numFmtId="0" fontId="46" fillId="0" borderId="0"/>
    <xf numFmtId="14" fontId="40" fillId="0" borderId="0">
      <alignment horizont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78" fontId="22" fillId="0" borderId="5">
      <alignment horizontal="right" vertical="center" wrapText="1"/>
    </xf>
    <xf numFmtId="178" fontId="22" fillId="0" borderId="5">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wrapText="1"/>
      <protection locked="0"/>
    </xf>
    <xf numFmtId="14" fontId="40" fillId="0" borderId="0">
      <alignment horizontal="center" wrapText="1"/>
      <protection locked="0"/>
    </xf>
    <xf numFmtId="181" fontId="22" fillId="0" borderId="5" applyProtection="0">
      <alignment horizontal="right" vertical="center" wrapText="1"/>
    </xf>
    <xf numFmtId="14" fontId="40" fillId="0" borderId="0">
      <alignment horizontal="center" wrapText="1"/>
      <protection locked="0"/>
    </xf>
    <xf numFmtId="14" fontId="40" fillId="0" borderId="0">
      <alignment horizontal="center" wrapText="1"/>
      <protection locked="0"/>
    </xf>
    <xf numFmtId="14" fontId="40" fillId="0" borderId="0">
      <alignment horizontal="center" wrapText="1"/>
      <protection locked="0"/>
    </xf>
    <xf numFmtId="14" fontId="40" fillId="0" borderId="0">
      <alignment horizontal="center" wrapText="1"/>
      <protection locked="0"/>
    </xf>
    <xf numFmtId="14" fontId="40" fillId="0" borderId="0">
      <alignment horizontal="center" wrapText="1"/>
      <protection locked="0"/>
    </xf>
    <xf numFmtId="14" fontId="40" fillId="0" borderId="0">
      <alignment horizontal="center" wrapText="1"/>
      <protection locked="0"/>
    </xf>
    <xf numFmtId="14" fontId="40" fillId="0" borderId="0">
      <alignment horizontal="center" vertical="center" wrapText="1"/>
      <protection locked="0"/>
    </xf>
    <xf numFmtId="178" fontId="5" fillId="0" borderId="5">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4" fontId="40" fillId="0" borderId="0">
      <alignment horizontal="center" vertical="center" wrapText="1"/>
      <protection locked="0"/>
    </xf>
    <xf numFmtId="49" fontId="22" fillId="0" borderId="5" applyProtection="0">
      <alignment horizontal="center" vertical="center" wrapText="1"/>
    </xf>
    <xf numFmtId="49" fontId="22" fillId="0" borderId="5" applyProtection="0">
      <alignment horizontal="center" vertical="center" wrapText="1"/>
    </xf>
    <xf numFmtId="14" fontId="40" fillId="0" borderId="0">
      <alignment horizontal="center" vertical="center" wrapText="1"/>
      <protection locked="0"/>
    </xf>
    <xf numFmtId="49" fontId="22" fillId="0" borderId="5" applyProtection="0">
      <alignment horizontal="center" vertical="center" wrapText="1"/>
    </xf>
    <xf numFmtId="49" fontId="22" fillId="0" borderId="5" applyProtection="0">
      <alignment horizontal="center" vertical="center" wrapText="1"/>
    </xf>
    <xf numFmtId="14" fontId="40" fillId="0" borderId="0">
      <alignment horizontal="center" vertical="center" wrapText="1"/>
      <protection locked="0"/>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78" fontId="5" fillId="0" borderId="5" applyProtection="0">
      <alignment horizontal="right" vertical="center" wrapText="1"/>
    </xf>
    <xf numFmtId="178" fontId="5" fillId="0" borderId="5" applyProtection="0">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78" fontId="5" fillId="0" borderId="5">
      <alignment horizontal="right" vertical="center" wrapText="1"/>
    </xf>
    <xf numFmtId="178" fontId="5" fillId="0" borderId="5">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81" fontId="22" fillId="0" borderId="5" applyProtection="0">
      <alignment horizontal="right" vertical="center" wrapText="1"/>
    </xf>
    <xf numFmtId="181" fontId="22" fillId="0" borderId="5" applyProtection="0">
      <alignment horizontal="right" vertical="center" wrapText="1"/>
    </xf>
    <xf numFmtId="14" fontId="40" fillId="0" borderId="0">
      <alignment horizontal="center" vertical="center" wrapText="1"/>
      <protection locked="0"/>
    </xf>
    <xf numFmtId="10" fontId="22" fillId="0" borderId="0" applyFont="0" applyFill="0" applyBorder="0" applyAlignment="0" applyProtection="0"/>
    <xf numFmtId="10" fontId="22" fillId="0" borderId="0" applyFont="0" applyFill="0" applyBorder="0" applyAlignment="0" applyProtection="0">
      <alignment vertical="center"/>
    </xf>
    <xf numFmtId="10" fontId="22" fillId="0" borderId="0"/>
    <xf numFmtId="10" fontId="22" fillId="0" borderId="0" applyFont="0" applyFill="0" applyBorder="0" applyAlignment="0" applyProtection="0">
      <alignment vertical="center"/>
    </xf>
    <xf numFmtId="10" fontId="22" fillId="0" borderId="0"/>
    <xf numFmtId="10" fontId="22" fillId="0" borderId="0"/>
    <xf numFmtId="10" fontId="22" fillId="0" borderId="0" applyFont="0" applyFill="0" applyBorder="0" applyAlignment="0" applyProtection="0">
      <alignment vertical="center"/>
    </xf>
    <xf numFmtId="10" fontId="48" fillId="0" borderId="0" applyFont="0" applyFill="0" applyBorder="0" applyAlignment="0" applyProtection="0"/>
    <xf numFmtId="0" fontId="109" fillId="0" borderId="0">
      <alignment vertical="center"/>
    </xf>
    <xf numFmtId="49" fontId="22" fillId="0" borderId="5">
      <alignment horizontal="center" vertical="center" wrapText="1"/>
    </xf>
    <xf numFmtId="10" fontId="22" fillId="0" borderId="0" applyFont="0" applyFill="0" applyBorder="0" applyAlignment="0" applyProtection="0">
      <alignment vertical="center"/>
    </xf>
    <xf numFmtId="10" fontId="48" fillId="0" borderId="0" applyFont="0" applyFill="0" applyBorder="0" applyAlignment="0" applyProtection="0"/>
    <xf numFmtId="0" fontId="109" fillId="0" borderId="0">
      <alignment vertical="center"/>
    </xf>
    <xf numFmtId="49" fontId="22" fillId="0" borderId="5">
      <alignment horizontal="center" vertical="center" wrapText="1"/>
    </xf>
    <xf numFmtId="10" fontId="22" fillId="0" borderId="0" applyFont="0" applyFill="0" applyBorder="0" applyAlignment="0" applyProtection="0">
      <alignment vertical="center"/>
    </xf>
    <xf numFmtId="10" fontId="48" fillId="0" borderId="0" applyFont="0" applyFill="0" applyBorder="0" applyAlignment="0" applyProtection="0"/>
    <xf numFmtId="49" fontId="22" fillId="0" borderId="5">
      <alignment horizontal="center" vertical="center" wrapText="1"/>
    </xf>
    <xf numFmtId="10" fontId="22" fillId="0" borderId="0" applyFont="0" applyFill="0" applyBorder="0" applyAlignment="0" applyProtection="0"/>
    <xf numFmtId="49" fontId="22" fillId="0" borderId="5">
      <alignment horizontal="center" vertical="center" wrapText="1"/>
    </xf>
    <xf numFmtId="10" fontId="22" fillId="0" borderId="0"/>
    <xf numFmtId="199" fontId="79" fillId="12" borderId="31">
      <alignment horizontal="right" vertical="center"/>
    </xf>
    <xf numFmtId="10" fontId="24" fillId="0" borderId="0">
      <alignment vertical="center"/>
    </xf>
    <xf numFmtId="10" fontId="22" fillId="0" borderId="0"/>
    <xf numFmtId="10" fontId="22" fillId="0" borderId="0"/>
    <xf numFmtId="10" fontId="22" fillId="0" borderId="0"/>
    <xf numFmtId="10" fontId="22" fillId="0" borderId="0"/>
    <xf numFmtId="10" fontId="22" fillId="0" borderId="0"/>
    <xf numFmtId="10" fontId="22" fillId="0" borderId="0"/>
    <xf numFmtId="10" fontId="22" fillId="0" borderId="0"/>
    <xf numFmtId="10" fontId="48" fillId="0" borderId="0" applyFont="0" applyFill="0" applyBorder="0" applyAlignment="0" applyProtection="0"/>
    <xf numFmtId="49" fontId="22" fillId="0" borderId="5">
      <alignment horizontal="center" vertical="center" wrapText="1"/>
    </xf>
    <xf numFmtId="10" fontId="48" fillId="0" borderId="0" applyFont="0" applyFill="0" applyBorder="0" applyAlignment="0" applyProtection="0"/>
    <xf numFmtId="0" fontId="22" fillId="6" borderId="7"/>
    <xf numFmtId="49" fontId="22" fillId="0" borderId="5">
      <alignment horizontal="center" vertical="center" wrapText="1"/>
    </xf>
    <xf numFmtId="10" fontId="48" fillId="0" borderId="0" applyFont="0" applyFill="0" applyBorder="0" applyAlignment="0" applyProtection="0"/>
    <xf numFmtId="0" fontId="22" fillId="6" borderId="7"/>
    <xf numFmtId="181" fontId="22" fillId="0" borderId="5" applyProtection="0">
      <alignment horizontal="right" vertical="center" wrapText="1"/>
    </xf>
    <xf numFmtId="49" fontId="22" fillId="0" borderId="5">
      <alignment horizontal="center" vertical="center" wrapText="1"/>
    </xf>
    <xf numFmtId="10" fontId="48" fillId="0" borderId="0" applyFont="0" applyFill="0" applyBorder="0" applyAlignment="0" applyProtection="0"/>
    <xf numFmtId="0" fontId="22" fillId="6" borderId="7"/>
    <xf numFmtId="181" fontId="22" fillId="0" borderId="5" applyProtection="0">
      <alignment horizontal="right" vertical="center" wrapText="1"/>
    </xf>
    <xf numFmtId="49" fontId="22" fillId="0" borderId="5">
      <alignment horizontal="center" vertical="center" wrapText="1"/>
    </xf>
    <xf numFmtId="10" fontId="48" fillId="0" borderId="0" applyFont="0" applyFill="0" applyBorder="0" applyAlignment="0" applyProtection="0"/>
    <xf numFmtId="0" fontId="22" fillId="6" borderId="7"/>
    <xf numFmtId="181" fontId="22" fillId="0" borderId="5" applyProtection="0">
      <alignment horizontal="right" vertical="center" wrapText="1"/>
    </xf>
    <xf numFmtId="10" fontId="24" fillId="0" borderId="0">
      <alignment vertical="center"/>
    </xf>
    <xf numFmtId="49" fontId="22" fillId="0" borderId="5">
      <alignment horizontal="center" vertical="center" wrapText="1"/>
    </xf>
    <xf numFmtId="10" fontId="22" fillId="0" borderId="0"/>
    <xf numFmtId="178" fontId="22" fillId="0" borderId="5">
      <alignment horizontal="right" vertical="center" wrapText="1"/>
    </xf>
    <xf numFmtId="10" fontId="22" fillId="0" borderId="0"/>
    <xf numFmtId="10" fontId="22" fillId="0" borderId="0"/>
    <xf numFmtId="10" fontId="22" fillId="0" borderId="0"/>
    <xf numFmtId="10" fontId="22" fillId="0" borderId="0"/>
    <xf numFmtId="10" fontId="22" fillId="0" borderId="0"/>
    <xf numFmtId="10" fontId="22" fillId="0" borderId="0"/>
    <xf numFmtId="10" fontId="22" fillId="0" borderId="0"/>
    <xf numFmtId="10" fontId="22" fillId="0" borderId="0"/>
    <xf numFmtId="10" fontId="22" fillId="0" borderId="0"/>
    <xf numFmtId="49" fontId="22" fillId="0" borderId="5">
      <alignment horizontal="center" vertical="center" wrapText="1"/>
    </xf>
    <xf numFmtId="10" fontId="22" fillId="0" borderId="0" applyFont="0" applyFill="0" applyBorder="0" applyAlignment="0" applyProtection="0">
      <alignment vertical="center"/>
    </xf>
    <xf numFmtId="49" fontId="22" fillId="0" borderId="5">
      <alignment horizontal="center" vertical="center" wrapText="1"/>
    </xf>
    <xf numFmtId="10" fontId="22" fillId="0" borderId="0" applyFont="0" applyFill="0" applyBorder="0" applyAlignment="0" applyProtection="0">
      <alignment vertical="center"/>
    </xf>
    <xf numFmtId="49" fontId="22" fillId="0" borderId="5">
      <alignment horizontal="center" vertical="center" wrapText="1"/>
    </xf>
    <xf numFmtId="10" fontId="22" fillId="0" borderId="0" applyFont="0" applyFill="0" applyBorder="0" applyAlignment="0" applyProtection="0">
      <alignment vertical="center"/>
    </xf>
    <xf numFmtId="10" fontId="22" fillId="0" borderId="0" applyFont="0" applyFill="0" applyBorder="0" applyAlignment="0" applyProtection="0">
      <alignment vertical="center"/>
    </xf>
    <xf numFmtId="49" fontId="22" fillId="0" borderId="5">
      <alignment horizontal="center" vertical="center" wrapText="1"/>
    </xf>
    <xf numFmtId="10" fontId="22" fillId="0" borderId="0" applyFont="0" applyFill="0" applyBorder="0" applyAlignment="0" applyProtection="0">
      <alignment vertical="center"/>
    </xf>
    <xf numFmtId="181" fontId="22" fillId="0" borderId="5" applyProtection="0">
      <alignment horizontal="right" vertical="center" wrapText="1"/>
    </xf>
    <xf numFmtId="9" fontId="22" fillId="0" borderId="0" applyFont="0" applyFill="0" applyBorder="0" applyAlignment="0" applyProtection="0"/>
    <xf numFmtId="13" fontId="22" fillId="0" borderId="0" applyFont="0" applyFill="0" applyProtection="0"/>
    <xf numFmtId="49" fontId="5" fillId="0" borderId="5">
      <alignment horizontal="center" vertical="center" wrapText="1"/>
    </xf>
    <xf numFmtId="0" fontId="22" fillId="0" borderId="0" applyNumberFormat="0" applyFont="0" applyFill="0" applyBorder="0" applyAlignment="0" applyProtection="0">
      <alignment horizontal="left"/>
    </xf>
    <xf numFmtId="49" fontId="22" fillId="0" borderId="5" applyProtection="0">
      <alignment horizontal="center" vertical="center" wrapText="1"/>
    </xf>
    <xf numFmtId="49" fontId="22" fillId="0" borderId="5" applyProtection="0">
      <alignment horizontal="center" vertical="center" wrapText="1"/>
    </xf>
    <xf numFmtId="0" fontId="22" fillId="0" borderId="0" applyNumberFormat="0" applyFont="0" applyFill="0" applyBorder="0" applyAlignment="0" applyProtection="0">
      <alignment horizontal="left" vertical="center"/>
    </xf>
    <xf numFmtId="0" fontId="46"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vertical="center"/>
    </xf>
    <xf numFmtId="0" fontId="46"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xf numFmtId="0" fontId="24" fillId="0" borderId="0">
      <alignment vertical="center"/>
    </xf>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0" fontId="22" fillId="0" borderId="0"/>
    <xf numFmtId="49" fontId="22" fillId="0" borderId="5" applyProtection="0">
      <alignment horizontal="center" vertical="center" wrapText="1"/>
    </xf>
    <xf numFmtId="49" fontId="22" fillId="0" borderId="5" applyProtection="0">
      <alignment horizontal="center" vertical="center" wrapText="1"/>
    </xf>
    <xf numFmtId="0" fontId="22" fillId="0" borderId="0"/>
    <xf numFmtId="49" fontId="22" fillId="0" borderId="5" applyProtection="0">
      <alignment horizontal="center" vertical="center" wrapText="1"/>
    </xf>
    <xf numFmtId="49" fontId="22" fillId="0" borderId="5" applyProtection="0">
      <alignment horizontal="center" vertical="center" wrapText="1"/>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24" fillId="0" borderId="0">
      <alignment vertical="center"/>
    </xf>
    <xf numFmtId="0" fontId="22" fillId="0" borderId="0"/>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0" fontId="22" fillId="0" borderId="0"/>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0" fontId="22" fillId="0" borderId="0"/>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0" fontId="22" fillId="0" borderId="0"/>
    <xf numFmtId="178" fontId="22" fillId="0" borderId="5">
      <alignment horizontal="right" vertical="center" wrapText="1"/>
    </xf>
    <xf numFmtId="49" fontId="5" fillId="0" borderId="5" applyProtection="0">
      <alignment vertical="center" wrapText="1"/>
    </xf>
    <xf numFmtId="0" fontId="22" fillId="0" borderId="0"/>
    <xf numFmtId="49" fontId="5" fillId="0" borderId="5" applyProtection="0">
      <alignment vertical="center" wrapText="1"/>
    </xf>
    <xf numFmtId="0" fontId="22" fillId="0" borderId="0" applyNumberFormat="0" applyFont="0" applyFill="0" applyBorder="0" applyAlignment="0" applyProtection="0">
      <alignment horizontal="left" vertical="center"/>
    </xf>
    <xf numFmtId="0" fontId="22" fillId="0" borderId="0" applyNumberFormat="0" applyFont="0" applyFill="0" applyBorder="0" applyAlignment="0" applyProtection="0">
      <alignment horizontal="left" vertical="center"/>
    </xf>
    <xf numFmtId="0" fontId="22" fillId="0" borderId="0" applyNumberFormat="0" applyFont="0" applyFill="0" applyBorder="0" applyAlignment="0" applyProtection="0">
      <alignment horizontal="left" vertical="center"/>
    </xf>
    <xf numFmtId="0" fontId="22" fillId="0" borderId="0" applyNumberFormat="0" applyFont="0" applyFill="0" applyBorder="0" applyAlignment="0" applyProtection="0">
      <alignment horizontal="left" vertical="center"/>
    </xf>
    <xf numFmtId="15" fontId="22" fillId="0" borderId="0" applyFont="0" applyFill="0" applyBorder="0" applyAlignment="0" applyProtection="0">
      <alignment vertical="center"/>
    </xf>
    <xf numFmtId="15" fontId="22" fillId="0" borderId="0"/>
    <xf numFmtId="15" fontId="22" fillId="0" borderId="0" applyFont="0" applyFill="0" applyBorder="0" applyAlignment="0" applyProtection="0">
      <alignment vertical="center"/>
    </xf>
    <xf numFmtId="15" fontId="22" fillId="0" borderId="0"/>
    <xf numFmtId="15" fontId="22" fillId="0" borderId="0"/>
    <xf numFmtId="15" fontId="22" fillId="0" borderId="0" applyFont="0" applyFill="0" applyBorder="0" applyAlignment="0" applyProtection="0">
      <alignment vertical="center"/>
    </xf>
    <xf numFmtId="15" fontId="22" fillId="0" borderId="0"/>
    <xf numFmtId="15" fontId="22" fillId="0" borderId="0" applyFont="0" applyFill="0" applyBorder="0" applyAlignment="0" applyProtection="0">
      <alignment vertical="center"/>
    </xf>
    <xf numFmtId="15" fontId="22" fillId="0" borderId="0" applyFont="0" applyFill="0" applyBorder="0" applyAlignment="0" applyProtection="0">
      <alignment vertical="center"/>
    </xf>
    <xf numFmtId="15" fontId="22" fillId="0" borderId="0" applyFont="0" applyFill="0" applyBorder="0" applyAlignment="0" applyProtection="0">
      <alignment vertical="center"/>
    </xf>
    <xf numFmtId="15" fontId="46" fillId="0" borderId="0" applyFont="0" applyFill="0" applyBorder="0" applyAlignment="0" applyProtection="0"/>
    <xf numFmtId="15" fontId="22" fillId="0" borderId="0" applyFont="0" applyFill="0" applyBorder="0" applyAlignment="0" applyProtection="0">
      <alignment vertical="center"/>
    </xf>
    <xf numFmtId="15" fontId="46" fillId="0" borderId="0" applyFont="0" applyFill="0" applyBorder="0" applyAlignment="0" applyProtection="0"/>
    <xf numFmtId="15" fontId="22" fillId="0" borderId="0" applyFont="0" applyFill="0" applyBorder="0" applyAlignment="0" applyProtection="0">
      <alignment vertical="center"/>
    </xf>
    <xf numFmtId="15" fontId="46" fillId="0" borderId="0" applyFont="0" applyFill="0" applyBorder="0" applyAlignment="0" applyProtection="0"/>
    <xf numFmtId="15" fontId="22" fillId="0" borderId="0" applyFont="0" applyFill="0" applyBorder="0" applyAlignment="0" applyProtection="0"/>
    <xf numFmtId="15" fontId="22" fillId="0" borderId="0"/>
    <xf numFmtId="15" fontId="24" fillId="0" borderId="0">
      <alignment vertical="center"/>
    </xf>
    <xf numFmtId="0" fontId="22" fillId="6" borderId="7" applyNumberFormat="0" applyFont="0" applyAlignment="0">
      <alignment horizontal="center"/>
    </xf>
    <xf numFmtId="15" fontId="22" fillId="0" borderId="0"/>
    <xf numFmtId="15" fontId="22" fillId="0" borderId="0"/>
    <xf numFmtId="15" fontId="22" fillId="0" borderId="0"/>
    <xf numFmtId="15" fontId="22" fillId="0" borderId="0"/>
    <xf numFmtId="15" fontId="22" fillId="0" borderId="0"/>
    <xf numFmtId="15" fontId="22" fillId="0" borderId="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24" fillId="0" borderId="0">
      <alignment vertical="center"/>
    </xf>
    <xf numFmtId="15" fontId="22" fillId="0" borderId="0"/>
    <xf numFmtId="49" fontId="5" fillId="0" borderId="5">
      <alignment vertical="center" wrapText="1"/>
    </xf>
    <xf numFmtId="49" fontId="5" fillId="0" borderId="5">
      <alignment vertical="center" wrapText="1"/>
    </xf>
    <xf numFmtId="15" fontId="22" fillId="0" borderId="0"/>
    <xf numFmtId="15" fontId="22" fillId="0" borderId="0"/>
    <xf numFmtId="15" fontId="22" fillId="0" borderId="0"/>
    <xf numFmtId="0" fontId="22" fillId="6" borderId="7"/>
    <xf numFmtId="15" fontId="22" fillId="0" borderId="0"/>
    <xf numFmtId="15" fontId="22" fillId="0" borderId="0"/>
    <xf numFmtId="15" fontId="22" fillId="0" borderId="0"/>
    <xf numFmtId="15" fontId="22" fillId="0" borderId="0"/>
    <xf numFmtId="15" fontId="22" fillId="0" borderId="0"/>
    <xf numFmtId="15" fontId="22" fillId="0" borderId="0" applyFont="0" applyFill="0" applyBorder="0" applyAlignment="0" applyProtection="0">
      <alignment vertical="center"/>
    </xf>
    <xf numFmtId="15" fontId="22" fillId="0" borderId="0" applyFont="0" applyFill="0" applyBorder="0" applyAlignment="0" applyProtection="0">
      <alignment vertical="center"/>
    </xf>
    <xf numFmtId="15" fontId="22" fillId="0" borderId="0" applyFont="0" applyFill="0" applyBorder="0" applyAlignment="0" applyProtection="0">
      <alignment vertical="center"/>
    </xf>
    <xf numFmtId="15" fontId="22" fillId="0" borderId="0" applyFont="0" applyFill="0" applyBorder="0" applyAlignment="0" applyProtection="0">
      <alignment vertical="center"/>
    </xf>
    <xf numFmtId="4" fontId="22" fillId="0" borderId="0" applyFont="0" applyFill="0" applyBorder="0" applyAlignment="0" applyProtection="0"/>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 fontId="22" fillId="0" borderId="0" applyFont="0" applyFill="0" applyBorder="0" applyAlignment="0" applyProtection="0">
      <alignment vertical="center"/>
    </xf>
    <xf numFmtId="4" fontId="22" fillId="0" borderId="0"/>
    <xf numFmtId="4" fontId="22" fillId="0" borderId="0" applyFont="0" applyFill="0" applyBorder="0" applyAlignment="0" applyProtection="0">
      <alignment vertical="center"/>
    </xf>
    <xf numFmtId="4" fontId="22" fillId="0" borderId="0"/>
    <xf numFmtId="4" fontId="22" fillId="0" borderId="0"/>
    <xf numFmtId="4" fontId="22" fillId="0" borderId="0" applyFont="0" applyFill="0" applyBorder="0" applyAlignment="0" applyProtection="0">
      <alignment vertical="center"/>
    </xf>
    <xf numFmtId="4" fontId="22" fillId="0" borderId="0"/>
    <xf numFmtId="4" fontId="22" fillId="0" borderId="0" applyFont="0" applyFill="0" applyBorder="0" applyAlignment="0" applyProtection="0">
      <alignment vertical="center"/>
    </xf>
    <xf numFmtId="4" fontId="22" fillId="0" borderId="0" applyFont="0" applyFill="0" applyBorder="0" applyAlignment="0" applyProtection="0">
      <alignment vertical="center"/>
    </xf>
    <xf numFmtId="178" fontId="5" fillId="0" borderId="5">
      <alignment horizontal="right" vertical="center" wrapText="1"/>
    </xf>
    <xf numFmtId="178" fontId="5" fillId="0" borderId="5">
      <alignment horizontal="right" vertical="center" wrapText="1"/>
    </xf>
    <xf numFmtId="4" fontId="22" fillId="0" borderId="0" applyFont="0" applyFill="0" applyBorder="0" applyAlignment="0" applyProtection="0">
      <alignment vertical="center"/>
    </xf>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22" fillId="0" borderId="0" applyFont="0" applyFill="0" applyBorder="0" applyAlignment="0" applyProtection="0">
      <alignment vertical="center"/>
    </xf>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22" fillId="0" borderId="0" applyFont="0" applyFill="0" applyBorder="0" applyAlignment="0" applyProtection="0">
      <alignment vertical="center"/>
    </xf>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22" fillId="0" borderId="0" applyFont="0" applyFill="0" applyBorder="0" applyAlignment="0" applyProtection="0"/>
    <xf numFmtId="49" fontId="22" fillId="0" borderId="5" applyProtection="0">
      <alignment vertical="center" wrapText="1"/>
    </xf>
    <xf numFmtId="49" fontId="22" fillId="0" borderId="5" applyProtection="0">
      <alignment vertical="center" wrapText="1"/>
    </xf>
    <xf numFmtId="4" fontId="22" fillId="0" borderId="0"/>
    <xf numFmtId="4" fontId="22" fillId="0" borderId="0"/>
    <xf numFmtId="4" fontId="22" fillId="0" borderId="0"/>
    <xf numFmtId="4" fontId="22" fillId="0" borderId="0"/>
    <xf numFmtId="4" fontId="22" fillId="0" borderId="0"/>
    <xf numFmtId="4" fontId="22" fillId="0" borderId="0"/>
    <xf numFmtId="4" fontId="22" fillId="0" borderId="0"/>
    <xf numFmtId="4" fontId="22" fillId="0" borderId="0"/>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46" fillId="0" borderId="0" applyFont="0" applyFill="0" applyBorder="0" applyAlignment="0" applyProtection="0"/>
    <xf numFmtId="178" fontId="5" fillId="0" borderId="5">
      <alignment horizontal="right" vertical="center" wrapText="1"/>
    </xf>
    <xf numFmtId="178" fontId="5" fillId="0" borderId="5">
      <alignment horizontal="right" vertical="center" wrapText="1"/>
    </xf>
    <xf numFmtId="4" fontId="46" fillId="0" borderId="0" applyFont="0" applyFill="0" applyBorder="0" applyAlignment="0" applyProtection="0"/>
    <xf numFmtId="4" fontId="22" fillId="0" borderId="0"/>
    <xf numFmtId="4" fontId="22" fillId="0" borderId="0"/>
    <xf numFmtId="4" fontId="22" fillId="0" borderId="0"/>
    <xf numFmtId="4" fontId="22" fillId="0" borderId="0"/>
    <xf numFmtId="4" fontId="22" fillId="0" borderId="0"/>
    <xf numFmtId="4" fontId="22" fillId="0" borderId="0"/>
    <xf numFmtId="4" fontId="22" fillId="0" borderId="0"/>
    <xf numFmtId="4" fontId="22" fillId="0" borderId="0"/>
    <xf numFmtId="0" fontId="56" fillId="0" borderId="25">
      <alignment horizontal="center"/>
    </xf>
    <xf numFmtId="178" fontId="5" fillId="0" borderId="5" applyProtection="0">
      <alignment horizontal="right" vertical="center" wrapText="1"/>
    </xf>
    <xf numFmtId="0" fontId="56" fillId="0" borderId="25">
      <alignment horizontal="center" vertical="center"/>
    </xf>
    <xf numFmtId="0" fontId="56" fillId="0" borderId="25">
      <alignment horizontal="center" vertical="center"/>
    </xf>
    <xf numFmtId="0" fontId="56" fillId="0" borderId="25">
      <alignment horizontal="center" vertical="center"/>
    </xf>
    <xf numFmtId="0" fontId="56" fillId="0" borderId="25">
      <alignment horizontal="center" vertical="center"/>
    </xf>
    <xf numFmtId="0" fontId="56" fillId="0" borderId="25">
      <alignment horizontal="center" vertical="center"/>
    </xf>
    <xf numFmtId="0" fontId="56" fillId="0" borderId="25">
      <alignment horizontal="center" vertical="center"/>
    </xf>
    <xf numFmtId="49" fontId="22" fillId="0" borderId="5">
      <alignment horizontal="center" vertical="center" wrapText="1"/>
    </xf>
    <xf numFmtId="0" fontId="56" fillId="0" borderId="25">
      <alignment horizontal="center" vertical="center"/>
    </xf>
    <xf numFmtId="0" fontId="56" fillId="0" borderId="25">
      <alignment horizontal="center" vertical="center"/>
    </xf>
    <xf numFmtId="49" fontId="22" fillId="0" borderId="5">
      <alignment horizontal="center" vertical="center" wrapText="1"/>
    </xf>
    <xf numFmtId="0" fontId="56" fillId="0" borderId="25">
      <alignment horizontal="center" vertical="center"/>
    </xf>
    <xf numFmtId="0" fontId="56" fillId="0" borderId="25">
      <alignment horizontal="center" vertical="center"/>
    </xf>
    <xf numFmtId="49" fontId="22" fillId="0" borderId="5">
      <alignment horizontal="center" vertical="center" wrapText="1"/>
    </xf>
    <xf numFmtId="0" fontId="56" fillId="0" borderId="25">
      <alignment horizontal="center" vertical="center"/>
    </xf>
    <xf numFmtId="0" fontId="56" fillId="0" borderId="25">
      <alignment horizontal="center" vertical="center"/>
    </xf>
    <xf numFmtId="0" fontId="56" fillId="0" borderId="25">
      <alignment horizontal="center"/>
    </xf>
    <xf numFmtId="0" fontId="56" fillId="0" borderId="25">
      <alignment horizontal="center"/>
    </xf>
    <xf numFmtId="49" fontId="22" fillId="0" borderId="5">
      <alignment horizontal="center" vertical="center" wrapText="1"/>
    </xf>
    <xf numFmtId="0" fontId="56" fillId="0" borderId="25">
      <alignment horizontal="center"/>
    </xf>
    <xf numFmtId="0" fontId="56" fillId="0" borderId="25">
      <alignment horizontal="center"/>
    </xf>
    <xf numFmtId="181" fontId="22" fillId="0" borderId="5" applyProtection="0">
      <alignment horizontal="right" vertical="center" wrapText="1"/>
    </xf>
    <xf numFmtId="0" fontId="56" fillId="0" borderId="25">
      <alignment horizontal="center"/>
    </xf>
    <xf numFmtId="0" fontId="56" fillId="0" borderId="25">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0" fontId="56" fillId="0" borderId="25">
      <alignment horizontal="center"/>
    </xf>
    <xf numFmtId="0" fontId="56" fillId="0" borderId="25">
      <alignment horizontal="center"/>
    </xf>
    <xf numFmtId="0" fontId="22" fillId="6" borderId="7"/>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0" fontId="56" fillId="0" borderId="25">
      <alignment horizontal="center"/>
    </xf>
    <xf numFmtId="0" fontId="56" fillId="0" borderId="25">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0" fontId="56" fillId="0" borderId="25">
      <alignment horizontal="center"/>
    </xf>
    <xf numFmtId="0" fontId="56" fillId="0" borderId="25">
      <alignment horizontal="center"/>
    </xf>
    <xf numFmtId="0" fontId="22" fillId="6" borderId="7"/>
    <xf numFmtId="49" fontId="5" fillId="0" borderId="5" applyProtection="0">
      <alignment vertical="center" wrapText="1"/>
    </xf>
    <xf numFmtId="49" fontId="5" fillId="0" borderId="5" applyProtection="0">
      <alignment vertical="center" wrapText="1"/>
    </xf>
    <xf numFmtId="0" fontId="56" fillId="0" borderId="25">
      <alignment horizontal="center"/>
    </xf>
    <xf numFmtId="0" fontId="56" fillId="0" borderId="25">
      <alignment horizontal="center" vertical="center"/>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49" fontId="22" fillId="0" borderId="5">
      <alignment horizontal="center" vertical="center" wrapText="1"/>
    </xf>
    <xf numFmtId="0" fontId="56" fillId="0" borderId="25">
      <alignment horizontal="center"/>
    </xf>
    <xf numFmtId="49" fontId="5" fillId="0" borderId="5" applyProtection="0">
      <alignment vertical="center" wrapText="1"/>
    </xf>
    <xf numFmtId="49" fontId="5" fillId="0" borderId="5" applyProtection="0">
      <alignment vertical="center" wrapText="1"/>
    </xf>
    <xf numFmtId="0" fontId="56" fillId="0" borderId="25">
      <alignment horizontal="center"/>
    </xf>
    <xf numFmtId="178" fontId="22" fillId="0" borderId="5" applyProtection="0">
      <alignment horizontal="right" vertical="center" wrapText="1"/>
    </xf>
    <xf numFmtId="178" fontId="22" fillId="0" borderId="5" applyProtection="0">
      <alignment horizontal="right" vertical="center" wrapText="1"/>
    </xf>
    <xf numFmtId="0" fontId="56" fillId="0" borderId="25">
      <alignment horizontal="center"/>
    </xf>
    <xf numFmtId="49" fontId="5" fillId="0" borderId="5" applyProtection="0">
      <alignment vertical="center" wrapText="1"/>
    </xf>
    <xf numFmtId="0" fontId="56" fillId="0" borderId="25">
      <alignment horizontal="center" vertical="center"/>
    </xf>
    <xf numFmtId="181" fontId="22" fillId="0" borderId="5" applyProtection="0">
      <alignment horizontal="right" vertical="center" wrapText="1"/>
    </xf>
    <xf numFmtId="0" fontId="56" fillId="0" borderId="25">
      <alignment horizontal="center" vertical="center"/>
    </xf>
    <xf numFmtId="0" fontId="56" fillId="0" borderId="25">
      <alignment horizontal="center" vertical="center"/>
    </xf>
    <xf numFmtId="0" fontId="109" fillId="0" borderId="0">
      <alignment vertical="center"/>
    </xf>
    <xf numFmtId="178" fontId="5" fillId="0" borderId="5" applyProtection="0">
      <alignment horizontal="right" vertical="center" wrapText="1"/>
    </xf>
    <xf numFmtId="0" fontId="56" fillId="0" borderId="25">
      <alignment horizontal="center" vertical="center"/>
    </xf>
    <xf numFmtId="178" fontId="5" fillId="0" borderId="5" applyProtection="0">
      <alignment horizontal="right" vertical="center" wrapText="1"/>
    </xf>
    <xf numFmtId="0" fontId="56" fillId="0" borderId="25">
      <alignment horizontal="center" vertical="center"/>
    </xf>
    <xf numFmtId="0" fontId="56" fillId="0" borderId="25">
      <alignment horizontal="center" vertical="center"/>
    </xf>
    <xf numFmtId="49" fontId="5" fillId="0" borderId="5">
      <alignment horizontal="center" vertical="center" wrapText="1"/>
    </xf>
    <xf numFmtId="49" fontId="5"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5" fillId="0" borderId="5">
      <alignment horizontal="center" vertical="center" wrapText="1"/>
    </xf>
    <xf numFmtId="49" fontId="5"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5" fillId="0" borderId="5">
      <alignment horizontal="center" vertical="center" wrapText="1"/>
    </xf>
    <xf numFmtId="49" fontId="5"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0" fontId="56" fillId="0" borderId="25">
      <alignment horizontal="center" vertical="center"/>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0" fontId="56" fillId="0" borderId="25">
      <alignment horizontal="center" vertical="center"/>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22" fillId="0" borderId="5">
      <alignment horizontal="center" vertical="center" wrapText="1"/>
    </xf>
    <xf numFmtId="49" fontId="22" fillId="0" borderId="5">
      <alignment horizontal="center"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0" fontId="56" fillId="0" borderId="25">
      <alignment horizontal="center"/>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0" fontId="56" fillId="0" borderId="25">
      <alignment horizontal="center" vertical="center"/>
    </xf>
    <xf numFmtId="0" fontId="56" fillId="0" borderId="25">
      <alignment horizontal="center" vertical="center"/>
    </xf>
    <xf numFmtId="0" fontId="56" fillId="0" borderId="25">
      <alignment horizontal="center" vertical="center"/>
    </xf>
    <xf numFmtId="0" fontId="56" fillId="0" borderId="25">
      <alignment horizontal="center"/>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56" fillId="0" borderId="25">
      <alignment horizontal="center" vertical="center"/>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56" fillId="0" borderId="25">
      <alignment horizontal="center" vertical="center"/>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56" fillId="0" borderId="25">
      <alignment horizontal="center" vertical="center"/>
    </xf>
    <xf numFmtId="49" fontId="5" fillId="0" borderId="5">
      <alignment horizontal="center"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56" fillId="0" borderId="25">
      <alignment horizontal="center" vertical="center"/>
    </xf>
    <xf numFmtId="49" fontId="5" fillId="0" borderId="5">
      <alignment horizontal="center" vertical="center" wrapText="1"/>
    </xf>
    <xf numFmtId="0" fontId="56" fillId="0" borderId="25">
      <alignment horizontal="center" vertical="center"/>
    </xf>
    <xf numFmtId="0" fontId="56" fillId="0" borderId="25">
      <alignment horizontal="center" vertical="center"/>
    </xf>
    <xf numFmtId="0" fontId="56" fillId="0" borderId="25">
      <alignment horizontal="center" vertical="center"/>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56" fillId="0" borderId="25">
      <alignment horizontal="center" vertical="center"/>
    </xf>
    <xf numFmtId="0" fontId="56" fillId="0" borderId="25">
      <alignment horizontal="center" vertical="center"/>
    </xf>
    <xf numFmtId="49" fontId="5" fillId="0" borderId="5" applyProtection="0">
      <alignment vertical="center" wrapText="1"/>
    </xf>
    <xf numFmtId="0" fontId="56" fillId="0" borderId="25">
      <alignment horizontal="center" vertical="center"/>
    </xf>
    <xf numFmtId="181" fontId="22" fillId="0" borderId="5" applyProtection="0">
      <alignment horizontal="right"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181" fontId="22" fillId="0" borderId="5" applyProtection="0">
      <alignment horizontal="right" vertical="center" wrapText="1"/>
    </xf>
    <xf numFmtId="0" fontId="56" fillId="0" borderId="25">
      <alignment horizontal="center" vertical="center"/>
    </xf>
    <xf numFmtId="49" fontId="5" fillId="0" borderId="5" applyProtection="0">
      <alignment vertical="center" wrapText="1"/>
    </xf>
    <xf numFmtId="0" fontId="56" fillId="0" borderId="25">
      <alignment horizontal="center" vertical="center"/>
    </xf>
    <xf numFmtId="181" fontId="22" fillId="0" borderId="5" applyProtection="0">
      <alignment horizontal="right" vertical="center" wrapText="1"/>
    </xf>
    <xf numFmtId="0" fontId="56" fillId="0" borderId="25">
      <alignment horizontal="center" vertical="center"/>
    </xf>
    <xf numFmtId="0" fontId="56" fillId="0" borderId="25">
      <alignment horizontal="center" vertical="center"/>
    </xf>
    <xf numFmtId="181" fontId="22" fillId="0" borderId="5" applyProtection="0">
      <alignment horizontal="right" vertical="center" wrapText="1"/>
    </xf>
    <xf numFmtId="0" fontId="56" fillId="0" borderId="25">
      <alignment horizontal="center" vertical="center"/>
    </xf>
    <xf numFmtId="0" fontId="56" fillId="0" borderId="25">
      <alignment horizontal="center" vertical="center"/>
    </xf>
    <xf numFmtId="49" fontId="5" fillId="0" borderId="5" applyProtection="0">
      <alignment vertical="center" wrapText="1"/>
    </xf>
    <xf numFmtId="49" fontId="5" fillId="0" borderId="5" applyProtection="0">
      <alignment vertical="center" wrapText="1"/>
    </xf>
    <xf numFmtId="0" fontId="56" fillId="0" borderId="25">
      <alignment horizontal="center" vertical="center"/>
    </xf>
    <xf numFmtId="0" fontId="56" fillId="0" borderId="25">
      <alignment horizontal="center" vertical="center"/>
    </xf>
    <xf numFmtId="3" fontId="22" fillId="0" borderId="0" applyFont="0" applyFill="0" applyBorder="0" applyAlignment="0" applyProtection="0"/>
    <xf numFmtId="49" fontId="5" fillId="0" borderId="5" applyProtection="0">
      <alignment horizontal="center" vertical="center" wrapText="1"/>
    </xf>
    <xf numFmtId="49" fontId="5" fillId="0" borderId="5" applyProtection="0">
      <alignment horizontal="center" vertical="center" wrapText="1"/>
    </xf>
    <xf numFmtId="3" fontId="22" fillId="0" borderId="0" applyFont="0" applyFill="0" applyBorder="0" applyAlignment="0" applyProtection="0">
      <alignment vertical="center"/>
    </xf>
    <xf numFmtId="3" fontId="22" fillId="0" borderId="0"/>
    <xf numFmtId="3" fontId="22" fillId="0" borderId="0" applyFont="0" applyFill="0" applyBorder="0" applyAlignment="0" applyProtection="0">
      <alignment vertical="center"/>
    </xf>
    <xf numFmtId="3" fontId="22" fillId="0" borderId="0"/>
    <xf numFmtId="3" fontId="22" fillId="0" borderId="0"/>
    <xf numFmtId="3" fontId="22" fillId="0" borderId="0" applyFont="0" applyFill="0" applyBorder="0" applyAlignment="0" applyProtection="0">
      <alignment vertical="center"/>
    </xf>
    <xf numFmtId="3" fontId="22" fillId="0" borderId="0"/>
    <xf numFmtId="3" fontId="22" fillId="0" borderId="0" applyFont="0" applyFill="0" applyBorder="0" applyAlignment="0" applyProtection="0">
      <alignment vertical="center"/>
    </xf>
    <xf numFmtId="3" fontId="22" fillId="0" borderId="0" applyFont="0" applyFill="0" applyBorder="0" applyAlignment="0" applyProtection="0">
      <alignment vertical="center"/>
    </xf>
    <xf numFmtId="3" fontId="22" fillId="0" borderId="0" applyFont="0" applyFill="0" applyBorder="0" applyAlignment="0" applyProtection="0">
      <alignment vertical="center"/>
    </xf>
    <xf numFmtId="3" fontId="46" fillId="0" borderId="0" applyFont="0" applyFill="0" applyBorder="0" applyAlignment="0" applyProtection="0"/>
    <xf numFmtId="3" fontId="22" fillId="0" borderId="0" applyFont="0" applyFill="0" applyBorder="0" applyAlignment="0" applyProtection="0">
      <alignment vertical="center"/>
    </xf>
    <xf numFmtId="3" fontId="46" fillId="0" borderId="0" applyFont="0" applyFill="0" applyBorder="0" applyAlignment="0" applyProtection="0"/>
    <xf numFmtId="3" fontId="22" fillId="0" borderId="0" applyFont="0" applyFill="0" applyBorder="0" applyAlignment="0" applyProtection="0">
      <alignment vertical="center"/>
    </xf>
    <xf numFmtId="3" fontId="46" fillId="0" borderId="0" applyFont="0" applyFill="0" applyBorder="0" applyAlignment="0" applyProtection="0"/>
    <xf numFmtId="3" fontId="22" fillId="0" borderId="0" applyFont="0" applyFill="0" applyBorder="0" applyAlignment="0" applyProtection="0"/>
    <xf numFmtId="49" fontId="22" fillId="0" borderId="5">
      <alignment vertical="center" wrapText="1"/>
    </xf>
    <xf numFmtId="49" fontId="22" fillId="0" borderId="5">
      <alignment vertical="center" wrapText="1"/>
    </xf>
    <xf numFmtId="3" fontId="22" fillId="0" borderId="0"/>
    <xf numFmtId="3" fontId="24" fillId="0" borderId="0">
      <alignment vertical="center"/>
    </xf>
    <xf numFmtId="3" fontId="22" fillId="0" borderId="0"/>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24" fillId="0" borderId="0">
      <alignment vertical="center"/>
    </xf>
    <xf numFmtId="49" fontId="22" fillId="0" borderId="5">
      <alignment vertical="center" wrapText="1"/>
    </xf>
    <xf numFmtId="49" fontId="22" fillId="0" borderId="5">
      <alignment vertical="center" wrapText="1"/>
    </xf>
    <xf numFmtId="3" fontId="22" fillId="0" borderId="0"/>
    <xf numFmtId="3" fontId="22" fillId="0" borderId="0"/>
    <xf numFmtId="3" fontId="22" fillId="0" borderId="0"/>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5" fillId="0" borderId="5">
      <alignment vertical="center" wrapText="1"/>
    </xf>
    <xf numFmtId="3" fontId="22" fillId="0" borderId="0"/>
    <xf numFmtId="49" fontId="22" fillId="0" borderId="5">
      <alignment vertical="center" wrapText="1"/>
    </xf>
    <xf numFmtId="49" fontId="22" fillId="0" borderId="5">
      <alignment vertical="center" wrapText="1"/>
    </xf>
    <xf numFmtId="3" fontId="22" fillId="0" borderId="0" applyFont="0" applyFill="0" applyBorder="0" applyAlignment="0" applyProtection="0">
      <alignment vertical="center"/>
    </xf>
    <xf numFmtId="3" fontId="22" fillId="0" borderId="0" applyFont="0" applyFill="0" applyBorder="0" applyAlignment="0" applyProtection="0">
      <alignment vertical="center"/>
    </xf>
    <xf numFmtId="3" fontId="22" fillId="0" borderId="0" applyFont="0" applyFill="0" applyBorder="0" applyAlignment="0" applyProtection="0">
      <alignment vertical="center"/>
    </xf>
    <xf numFmtId="3" fontId="22" fillId="0" borderId="0" applyFont="0" applyFill="0" applyBorder="0" applyAlignment="0" applyProtection="0">
      <alignment vertical="center"/>
    </xf>
    <xf numFmtId="3" fontId="22" fillId="0" borderId="0" applyFont="0" applyFill="0" applyBorder="0" applyAlignment="0" applyProtection="0">
      <alignment vertical="center"/>
    </xf>
    <xf numFmtId="0" fontId="22" fillId="27" borderId="0" applyNumberFormat="0" applyFont="0" applyBorder="0" applyAlignment="0" applyProtection="0"/>
    <xf numFmtId="0" fontId="43" fillId="7" borderId="3">
      <alignment vertical="center"/>
      <protection locked="0"/>
    </xf>
    <xf numFmtId="181" fontId="22" fillId="0" borderId="5">
      <alignment horizontal="right" vertical="center" wrapText="1"/>
    </xf>
    <xf numFmtId="181" fontId="22" fillId="0" borderId="5">
      <alignment horizontal="right" vertical="center" wrapText="1"/>
    </xf>
    <xf numFmtId="0" fontId="22" fillId="27" borderId="0" applyNumberFormat="0" applyFont="0" applyBorder="0" applyAlignment="0" applyProtection="0">
      <alignment vertical="center"/>
    </xf>
    <xf numFmtId="181" fontId="22" fillId="0" borderId="5">
      <alignment horizontal="right" vertical="center" wrapText="1"/>
    </xf>
    <xf numFmtId="181" fontId="22" fillId="0" borderId="5">
      <alignment horizontal="right" vertical="center" wrapText="1"/>
    </xf>
    <xf numFmtId="0" fontId="22" fillId="27" borderId="0"/>
    <xf numFmtId="0" fontId="22" fillId="27" borderId="0" applyNumberFormat="0" applyFont="0" applyBorder="0" applyAlignment="0" applyProtection="0">
      <alignment vertical="center"/>
    </xf>
    <xf numFmtId="0" fontId="22" fillId="27" borderId="0"/>
    <xf numFmtId="0" fontId="22" fillId="27" borderId="0"/>
    <xf numFmtId="181" fontId="22" fillId="0" borderId="5" applyProtection="0">
      <alignment horizontal="right" vertical="center" wrapText="1"/>
    </xf>
    <xf numFmtId="0" fontId="22" fillId="27" borderId="0" applyNumberFormat="0" applyFont="0" applyBorder="0" applyAlignment="0" applyProtection="0">
      <alignment vertical="center"/>
    </xf>
    <xf numFmtId="0" fontId="22" fillId="27" borderId="0"/>
    <xf numFmtId="181" fontId="22" fillId="0" borderId="5" applyProtection="0">
      <alignment horizontal="right" vertical="center" wrapText="1"/>
    </xf>
    <xf numFmtId="0" fontId="22" fillId="27" borderId="0" applyNumberFormat="0" applyFont="0" applyBorder="0" applyAlignment="0" applyProtection="0">
      <alignment vertical="center"/>
    </xf>
    <xf numFmtId="0" fontId="22" fillId="27" borderId="0" applyNumberFormat="0" applyFont="0" applyBorder="0" applyAlignment="0" applyProtection="0">
      <alignment vertical="center"/>
    </xf>
    <xf numFmtId="181" fontId="22" fillId="0" borderId="5" applyProtection="0">
      <alignment horizontal="right" vertical="center" wrapText="1"/>
    </xf>
    <xf numFmtId="0" fontId="22" fillId="27" borderId="0" applyNumberFormat="0" applyFont="0" applyBorder="0" applyAlignment="0" applyProtection="0">
      <alignment vertical="center"/>
    </xf>
    <xf numFmtId="0" fontId="46" fillId="27" borderId="0" applyNumberFormat="0" applyFont="0" applyBorder="0" applyAlignment="0" applyProtection="0"/>
    <xf numFmtId="181" fontId="22" fillId="0" borderId="5" applyProtection="0">
      <alignment horizontal="right" vertical="center" wrapText="1"/>
    </xf>
    <xf numFmtId="0" fontId="22" fillId="27" borderId="0" applyNumberFormat="0" applyFont="0" applyBorder="0" applyAlignment="0" applyProtection="0">
      <alignment vertical="center"/>
    </xf>
    <xf numFmtId="0" fontId="46" fillId="27" borderId="0" applyNumberFormat="0" applyFont="0" applyBorder="0" applyAlignment="0" applyProtection="0"/>
    <xf numFmtId="181" fontId="22" fillId="0" borderId="5" applyProtection="0">
      <alignment horizontal="right" vertical="center" wrapText="1"/>
    </xf>
    <xf numFmtId="0" fontId="22" fillId="27" borderId="0" applyNumberFormat="0" applyFont="0" applyBorder="0" applyAlignment="0" applyProtection="0">
      <alignment vertical="center"/>
    </xf>
    <xf numFmtId="0" fontId="46" fillId="27" borderId="0" applyNumberFormat="0" applyFont="0" applyBorder="0" applyAlignment="0" applyProtection="0"/>
    <xf numFmtId="181" fontId="22" fillId="0" borderId="5" applyProtection="0">
      <alignment horizontal="right" vertical="center" wrapText="1"/>
    </xf>
    <xf numFmtId="0" fontId="22" fillId="27" borderId="0" applyNumberFormat="0" applyFont="0" applyBorder="0" applyAlignment="0" applyProtection="0"/>
    <xf numFmtId="181" fontId="22" fillId="0" borderId="5">
      <alignment horizontal="right" vertical="center" wrapText="1"/>
    </xf>
    <xf numFmtId="181" fontId="22" fillId="0" borderId="5">
      <alignment horizontal="right" vertical="center" wrapText="1"/>
    </xf>
    <xf numFmtId="0" fontId="22" fillId="27" borderId="0"/>
    <xf numFmtId="181" fontId="5" fillId="0" borderId="5">
      <alignment horizontal="right" vertical="center" wrapText="1"/>
    </xf>
    <xf numFmtId="181" fontId="5" fillId="0" borderId="5">
      <alignment horizontal="right" vertical="center" wrapText="1"/>
    </xf>
    <xf numFmtId="0" fontId="24" fillId="27" borderId="0">
      <alignment vertical="center"/>
    </xf>
    <xf numFmtId="181" fontId="22" fillId="0" borderId="5">
      <alignment horizontal="right" vertical="center" wrapText="1"/>
    </xf>
    <xf numFmtId="181" fontId="22" fillId="0" borderId="5">
      <alignment horizontal="right" vertical="center" wrapText="1"/>
    </xf>
    <xf numFmtId="0" fontId="22" fillId="27" borderId="0"/>
    <xf numFmtId="181" fontId="22" fillId="0" borderId="5">
      <alignment horizontal="right" vertical="center" wrapText="1"/>
    </xf>
    <xf numFmtId="181" fontId="22" fillId="0" borderId="5">
      <alignment horizontal="right" vertical="center" wrapText="1"/>
    </xf>
    <xf numFmtId="0" fontId="22" fillId="27" borderId="0"/>
    <xf numFmtId="0" fontId="22" fillId="6" borderId="7"/>
    <xf numFmtId="181" fontId="22" fillId="0" borderId="5">
      <alignment horizontal="right" vertical="center" wrapText="1"/>
    </xf>
    <xf numFmtId="181" fontId="22" fillId="0" borderId="5">
      <alignment horizontal="right" vertical="center" wrapText="1"/>
    </xf>
    <xf numFmtId="0" fontId="22" fillId="27" borderId="0"/>
    <xf numFmtId="0" fontId="22" fillId="6" borderId="7"/>
    <xf numFmtId="181" fontId="22" fillId="0" borderId="5">
      <alignment horizontal="right" vertical="center" wrapText="1"/>
    </xf>
    <xf numFmtId="181" fontId="22" fillId="0" borderId="5">
      <alignment horizontal="right" vertical="center" wrapText="1"/>
    </xf>
    <xf numFmtId="0" fontId="22" fillId="27" borderId="0"/>
    <xf numFmtId="0" fontId="22" fillId="6" borderId="7"/>
    <xf numFmtId="181" fontId="22" fillId="0" borderId="5">
      <alignment horizontal="right" vertical="center" wrapText="1"/>
    </xf>
    <xf numFmtId="181" fontId="22" fillId="0" borderId="5">
      <alignment horizontal="right" vertical="center" wrapText="1"/>
    </xf>
    <xf numFmtId="0" fontId="22" fillId="27" borderId="0"/>
    <xf numFmtId="0" fontId="22" fillId="6" borderId="7"/>
    <xf numFmtId="0" fontId="46" fillId="27" borderId="0" applyNumberFormat="0" applyFont="0" applyBorder="0" applyAlignment="0" applyProtection="0"/>
    <xf numFmtId="181" fontId="22" fillId="0" borderId="5" applyProtection="0">
      <alignment horizontal="right" vertical="center" wrapText="1"/>
    </xf>
    <xf numFmtId="0" fontId="46" fillId="27" borderId="0" applyNumberFormat="0" applyFont="0" applyBorder="0" applyAlignment="0" applyProtection="0"/>
    <xf numFmtId="181" fontId="22" fillId="0" borderId="5" applyProtection="0">
      <alignment horizontal="right" vertical="center" wrapText="1"/>
    </xf>
    <xf numFmtId="0" fontId="46" fillId="27" borderId="0" applyNumberFormat="0" applyFont="0" applyBorder="0" applyAlignment="0" applyProtection="0"/>
    <xf numFmtId="0" fontId="46" fillId="27" borderId="0" applyNumberFormat="0" applyFont="0" applyBorder="0" applyAlignment="0" applyProtection="0"/>
    <xf numFmtId="0" fontId="46" fillId="27" borderId="0" applyNumberFormat="0" applyFont="0" applyBorder="0" applyAlignment="0" applyProtection="0"/>
    <xf numFmtId="0" fontId="24" fillId="27" borderId="0">
      <alignment vertical="center"/>
    </xf>
    <xf numFmtId="181" fontId="22" fillId="0" borderId="5">
      <alignment horizontal="right" vertical="center" wrapText="1"/>
    </xf>
    <xf numFmtId="181" fontId="22" fillId="0" borderId="5">
      <alignment horizontal="right" vertical="center" wrapText="1"/>
    </xf>
    <xf numFmtId="0" fontId="22" fillId="27" borderId="0"/>
    <xf numFmtId="0" fontId="22" fillId="27" borderId="0"/>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2" fillId="27" borderId="0"/>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2" fillId="27" borderId="0"/>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2" fillId="27" borderId="0"/>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2" fillId="27" borderId="0"/>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2" fillId="27" borderId="0"/>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2" fillId="27" borderId="0"/>
    <xf numFmtId="181" fontId="22" fillId="0" borderId="5">
      <alignment horizontal="right" vertical="center" wrapText="1"/>
    </xf>
    <xf numFmtId="181" fontId="22" fillId="0" borderId="5">
      <alignment horizontal="right" vertical="center" wrapText="1"/>
    </xf>
    <xf numFmtId="0" fontId="22" fillId="27" borderId="0"/>
    <xf numFmtId="0" fontId="22" fillId="27" borderId="0"/>
    <xf numFmtId="181" fontId="22" fillId="0" borderId="5">
      <alignment horizontal="right" vertical="center" wrapText="1"/>
    </xf>
    <xf numFmtId="181" fontId="22" fillId="0" borderId="5">
      <alignment horizontal="right" vertical="center" wrapText="1"/>
    </xf>
    <xf numFmtId="0" fontId="22" fillId="27" borderId="0" applyNumberFormat="0" applyFont="0" applyBorder="0" applyAlignment="0" applyProtection="0">
      <alignment vertical="center"/>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22" fillId="27" borderId="0" applyNumberFormat="0" applyFon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22" fillId="27" borderId="0" applyNumberFormat="0" applyFon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22" fillId="27" borderId="0" applyNumberFormat="0" applyFont="0" applyBorder="0" applyAlignment="0" applyProtection="0">
      <alignment vertical="center"/>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22" fillId="27" borderId="0" applyNumberFormat="0" applyFont="0" applyBorder="0" applyAlignment="0" applyProtection="0">
      <alignment vertical="center"/>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22" fillId="28" borderId="0" applyNumberFormat="0" applyFont="0" applyBorder="0" applyAlignment="0">
      <alignment horizontal="center"/>
    </xf>
    <xf numFmtId="0" fontId="22" fillId="28" borderId="0" applyNumberFormat="0" applyFont="0" applyBorder="0" applyAlignment="0">
      <alignment horizontal="center" vertical="center"/>
    </xf>
    <xf numFmtId="49" fontId="5" fillId="0" borderId="5">
      <alignment vertical="center" wrapText="1"/>
    </xf>
    <xf numFmtId="0" fontId="22" fillId="28" borderId="0"/>
    <xf numFmtId="0" fontId="22" fillId="28" borderId="0" applyNumberFormat="0" applyFont="0" applyBorder="0" applyAlignment="0">
      <alignment horizontal="center" vertical="center"/>
    </xf>
    <xf numFmtId="49" fontId="5" fillId="0" borderId="5">
      <alignment vertical="center" wrapText="1"/>
    </xf>
    <xf numFmtId="49" fontId="5" fillId="0" borderId="5">
      <alignment vertical="center" wrapText="1"/>
    </xf>
    <xf numFmtId="0" fontId="22" fillId="28" borderId="0"/>
    <xf numFmtId="0" fontId="22" fillId="28" borderId="0"/>
    <xf numFmtId="0" fontId="22" fillId="28" borderId="0" applyNumberFormat="0" applyFont="0" applyBorder="0" applyAlignment="0">
      <alignment horizontal="center" vertical="center"/>
    </xf>
    <xf numFmtId="0" fontId="22" fillId="28" borderId="0"/>
    <xf numFmtId="0" fontId="22" fillId="28" borderId="0" applyNumberFormat="0" applyFont="0" applyBorder="0" applyAlignment="0">
      <alignment horizontal="center" vertical="center"/>
    </xf>
    <xf numFmtId="0" fontId="22" fillId="28" borderId="0" applyNumberFormat="0" applyFont="0" applyBorder="0" applyAlignment="0">
      <alignment horizontal="center" vertical="center"/>
    </xf>
    <xf numFmtId="0" fontId="22" fillId="28" borderId="0" applyNumberFormat="0" applyFont="0" applyBorder="0" applyAlignment="0">
      <alignment horizontal="center" vertical="center"/>
    </xf>
    <xf numFmtId="0" fontId="45" fillId="28" borderId="0" applyNumberFormat="0" applyFont="0" applyBorder="0" applyAlignment="0">
      <alignment horizontal="center"/>
    </xf>
    <xf numFmtId="0" fontId="22" fillId="28" borderId="0" applyNumberFormat="0" applyFont="0" applyBorder="0" applyAlignment="0">
      <alignment horizontal="center" vertical="center"/>
    </xf>
    <xf numFmtId="0" fontId="45" fillId="28" borderId="0" applyNumberFormat="0" applyFont="0" applyBorder="0" applyAlignment="0">
      <alignment horizontal="center"/>
    </xf>
    <xf numFmtId="0" fontId="22" fillId="28" borderId="0" applyNumberFormat="0" applyFont="0" applyBorder="0" applyAlignment="0">
      <alignment horizontal="center"/>
    </xf>
    <xf numFmtId="0" fontId="22" fillId="28" borderId="0"/>
    <xf numFmtId="0" fontId="24" fillId="28" borderId="0">
      <alignment vertical="center"/>
    </xf>
    <xf numFmtId="0" fontId="22" fillId="6" borderId="7"/>
    <xf numFmtId="0" fontId="22" fillId="28" borderId="0"/>
    <xf numFmtId="0" fontId="22" fillId="6" borderId="7"/>
    <xf numFmtId="0" fontId="22" fillId="28" borderId="0"/>
    <xf numFmtId="0" fontId="22" fillId="6" borderId="7"/>
    <xf numFmtId="0" fontId="22" fillId="28" borderId="0"/>
    <xf numFmtId="0" fontId="22" fillId="6" borderId="7"/>
    <xf numFmtId="0" fontId="22" fillId="28" borderId="0"/>
    <xf numFmtId="0" fontId="22" fillId="28" borderId="0"/>
    <xf numFmtId="0" fontId="22" fillId="28" borderId="0"/>
    <xf numFmtId="0" fontId="22" fillId="28" borderId="0"/>
    <xf numFmtId="0" fontId="45" fillId="28" borderId="0" applyNumberFormat="0" applyFont="0" applyBorder="0" applyAlignment="0">
      <alignment horizontal="center"/>
    </xf>
    <xf numFmtId="0" fontId="45" fillId="28" borderId="0" applyNumberFormat="0" applyFont="0" applyBorder="0" applyAlignment="0">
      <alignment horizontal="center"/>
    </xf>
    <xf numFmtId="0" fontId="45" fillId="28" borderId="0" applyNumberFormat="0" applyFont="0" applyBorder="0" applyAlignment="0">
      <alignment horizontal="center"/>
    </xf>
    <xf numFmtId="0" fontId="45" fillId="28" borderId="0" applyNumberFormat="0" applyFont="0" applyBorder="0" applyAlignment="0">
      <alignment horizontal="center"/>
    </xf>
    <xf numFmtId="0" fontId="45" fillId="28" borderId="0" applyNumberFormat="0" applyFont="0" applyBorder="0" applyAlignment="0">
      <alignment horizontal="center"/>
    </xf>
    <xf numFmtId="0" fontId="24" fillId="28" borderId="0">
      <alignment vertical="center"/>
    </xf>
    <xf numFmtId="0" fontId="22" fillId="28" borderId="0"/>
    <xf numFmtId="49" fontId="22" fillId="0" borderId="5">
      <alignment horizontal="center" vertical="center" wrapText="1"/>
    </xf>
    <xf numFmtId="0" fontId="22" fillId="28" borderId="0"/>
    <xf numFmtId="0" fontId="22" fillId="28" borderId="0"/>
    <xf numFmtId="0" fontId="22" fillId="28" borderId="0"/>
    <xf numFmtId="0" fontId="22" fillId="28" borderId="0"/>
    <xf numFmtId="0" fontId="22" fillId="28" borderId="0"/>
    <xf numFmtId="0" fontId="22" fillId="28" borderId="0"/>
    <xf numFmtId="0" fontId="22" fillId="28" borderId="0"/>
    <xf numFmtId="0" fontId="22" fillId="28" borderId="0"/>
    <xf numFmtId="0" fontId="22" fillId="28" borderId="0"/>
    <xf numFmtId="0" fontId="22" fillId="28" borderId="0" applyNumberFormat="0" applyFont="0" applyBorder="0" applyAlignment="0">
      <alignment horizontal="center" vertical="center"/>
    </xf>
    <xf numFmtId="0" fontId="22" fillId="28" borderId="0" applyNumberFormat="0" applyFont="0" applyBorder="0" applyAlignment="0">
      <alignment horizontal="center" vertical="center"/>
    </xf>
    <xf numFmtId="0" fontId="22" fillId="28" borderId="0" applyNumberFormat="0" applyFont="0" applyBorder="0" applyAlignment="0">
      <alignment horizontal="center" vertical="center"/>
    </xf>
    <xf numFmtId="0" fontId="22" fillId="28" borderId="0" applyNumberFormat="0" applyFont="0" applyBorder="0" applyAlignment="0">
      <alignment horizontal="center" vertical="center"/>
    </xf>
    <xf numFmtId="0" fontId="22" fillId="28" borderId="0" applyNumberFormat="0" applyFont="0" applyBorder="0" applyAlignment="0">
      <alignment horizontal="center" vertical="center"/>
    </xf>
    <xf numFmtId="0" fontId="48" fillId="0" borderId="0" applyNumberFormat="0" applyFill="0" applyBorder="0" applyAlignment="0" applyProtection="0">
      <alignment horizontal="left"/>
    </xf>
    <xf numFmtId="0" fontId="48" fillId="0" borderId="0" applyNumberFormat="0" applyFill="0" applyBorder="0" applyAlignment="0" applyProtection="0">
      <alignment horizontal="left" vertical="center"/>
    </xf>
    <xf numFmtId="181" fontId="5" fillId="0" borderId="5" applyProtection="0">
      <alignment horizontal="right" vertical="center" wrapText="1"/>
    </xf>
    <xf numFmtId="181" fontId="5" fillId="0" borderId="5" applyProtection="0">
      <alignment horizontal="right" vertical="center" wrapText="1"/>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181" fontId="22" fillId="0" borderId="5" applyProtection="0">
      <alignment horizontal="right" vertical="center" wrapText="1"/>
    </xf>
    <xf numFmtId="181" fontId="22" fillId="0" borderId="5" applyProtection="0">
      <alignment horizontal="right" vertical="center" wrapText="1"/>
    </xf>
    <xf numFmtId="0" fontId="48" fillId="0" borderId="0"/>
    <xf numFmtId="181" fontId="5" fillId="0" borderId="5" applyProtection="0">
      <alignment horizontal="right" vertical="center" wrapText="1"/>
    </xf>
    <xf numFmtId="181" fontId="5" fillId="0" borderId="5" applyProtection="0">
      <alignment horizontal="right" vertical="center" wrapText="1"/>
    </xf>
    <xf numFmtId="0" fontId="48" fillId="0" borderId="0"/>
    <xf numFmtId="0" fontId="48" fillId="0" borderId="0"/>
    <xf numFmtId="0" fontId="48" fillId="0" borderId="0" applyNumberFormat="0" applyFill="0" applyBorder="0" applyAlignment="0" applyProtection="0">
      <alignment horizontal="left" vertical="center"/>
    </xf>
    <xf numFmtId="0" fontId="48" fillId="0" borderId="0"/>
    <xf numFmtId="0" fontId="48" fillId="0" borderId="0" applyNumberFormat="0" applyFill="0" applyBorder="0" applyAlignment="0" applyProtection="0">
      <alignment horizontal="left" vertical="center"/>
    </xf>
    <xf numFmtId="178" fontId="5" fillId="0" borderId="5">
      <alignment horizontal="right" vertical="center" wrapText="1"/>
    </xf>
    <xf numFmtId="178" fontId="5" fillId="0" borderId="5">
      <alignment horizontal="right" vertical="center" wrapText="1"/>
    </xf>
    <xf numFmtId="0" fontId="48" fillId="0" borderId="0" applyNumberFormat="0" applyFill="0" applyBorder="0" applyAlignment="0" applyProtection="0">
      <alignment horizontal="left" vertical="center"/>
    </xf>
    <xf numFmtId="178" fontId="5" fillId="0" borderId="5">
      <alignment horizontal="right" vertical="center" wrapText="1"/>
    </xf>
    <xf numFmtId="178" fontId="5" fillId="0" borderId="5">
      <alignment horizontal="right" vertical="center" wrapText="1"/>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190" fontId="48" fillId="0" borderId="0" applyNumberFormat="0" applyFill="0" applyBorder="0" applyAlignment="0" applyProtection="0">
      <alignment horizontal="left"/>
    </xf>
    <xf numFmtId="0" fontId="48" fillId="0" borderId="0" applyNumberFormat="0" applyFill="0" applyBorder="0" applyAlignment="0" applyProtection="0">
      <alignment horizontal="left" vertical="center"/>
    </xf>
    <xf numFmtId="190" fontId="48" fillId="0" borderId="0" applyNumberFormat="0" applyFill="0" applyBorder="0" applyAlignment="0" applyProtection="0">
      <alignment horizontal="left"/>
    </xf>
    <xf numFmtId="0" fontId="48" fillId="0" borderId="0" applyNumberFormat="0" applyFill="0" applyBorder="0" applyAlignment="0" applyProtection="0">
      <alignment horizontal="left" vertical="center"/>
    </xf>
    <xf numFmtId="190" fontId="48" fillId="0" borderId="0" applyNumberFormat="0" applyFill="0" applyBorder="0" applyAlignment="0" applyProtection="0">
      <alignment horizontal="left"/>
    </xf>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48" fillId="0" borderId="0" applyNumberFormat="0" applyFill="0" applyBorder="0" applyAlignment="0" applyProtection="0">
      <alignment horizontal="left"/>
    </xf>
    <xf numFmtId="190" fontId="48" fillId="0" borderId="0" applyNumberFormat="0" applyFill="0" applyBorder="0" applyAlignment="0" applyProtection="0">
      <alignment horizontal="left"/>
    </xf>
    <xf numFmtId="0" fontId="45" fillId="6" borderId="7" applyNumberFormat="0" applyFont="0" applyAlignment="0">
      <alignment horizontal="center"/>
    </xf>
    <xf numFmtId="190" fontId="48" fillId="0" borderId="0" applyNumberFormat="0" applyFill="0" applyBorder="0" applyAlignment="0" applyProtection="0">
      <alignment horizontal="left"/>
    </xf>
    <xf numFmtId="0" fontId="45" fillId="6" borderId="7" applyNumberFormat="0" applyFont="0" applyAlignment="0">
      <alignment horizontal="center"/>
    </xf>
    <xf numFmtId="178" fontId="5" fillId="0" borderId="5" applyProtection="0">
      <alignment horizontal="right" vertical="center" wrapText="1"/>
    </xf>
    <xf numFmtId="178" fontId="5" fillId="0" borderId="5" applyProtection="0">
      <alignment horizontal="right" vertical="center" wrapText="1"/>
    </xf>
    <xf numFmtId="190" fontId="48" fillId="0" borderId="0" applyNumberFormat="0" applyFill="0" applyBorder="0" applyAlignment="0" applyProtection="0">
      <alignment horizontal="left"/>
    </xf>
    <xf numFmtId="0" fontId="45" fillId="6" borderId="7" applyNumberFormat="0" applyFont="0" applyAlignment="0">
      <alignment horizontal="center"/>
    </xf>
    <xf numFmtId="178" fontId="5" fillId="0" borderId="5" applyProtection="0">
      <alignment horizontal="right" vertical="center" wrapText="1"/>
    </xf>
    <xf numFmtId="178" fontId="5" fillId="0" borderId="5" applyProtection="0">
      <alignment horizontal="right" vertical="center" wrapText="1"/>
    </xf>
    <xf numFmtId="190" fontId="48" fillId="0" borderId="0" applyNumberFormat="0" applyFill="0" applyBorder="0" applyAlignment="0" applyProtection="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22" fillId="6" borderId="7"/>
    <xf numFmtId="0" fontId="48" fillId="0" borderId="0" applyNumberFormat="0" applyFill="0" applyBorder="0" applyAlignment="0" applyProtection="0">
      <alignment horizontal="left" vertical="center"/>
    </xf>
    <xf numFmtId="0" fontId="22" fillId="6" borderId="7"/>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22" fillId="6" borderId="7"/>
    <xf numFmtId="0" fontId="48" fillId="0" borderId="0" applyNumberFormat="0" applyFill="0" applyBorder="0" applyAlignment="0" applyProtection="0">
      <alignment horizontal="left" vertical="center"/>
    </xf>
    <xf numFmtId="0" fontId="22" fillId="6" borderId="7"/>
    <xf numFmtId="0" fontId="48" fillId="0" borderId="0" applyNumberFormat="0" applyFill="0" applyBorder="0" applyAlignment="0" applyProtection="0">
      <alignment horizontal="left" vertical="center"/>
    </xf>
    <xf numFmtId="0" fontId="48" fillId="0" borderId="0" applyNumberFormat="0" applyFill="0" applyBorder="0" applyAlignment="0" applyProtection="0">
      <alignment horizontal="left" vertical="center"/>
    </xf>
    <xf numFmtId="0" fontId="12" fillId="0" borderId="0" applyNumberFormat="0" applyFill="0" applyBorder="0" applyAlignment="0" applyProtection="0">
      <alignment vertical="center"/>
    </xf>
    <xf numFmtId="0" fontId="16" fillId="15" borderId="0">
      <alignment horizontal="left" vertical="center"/>
    </xf>
    <xf numFmtId="0" fontId="16" fillId="15" borderId="0">
      <alignment horizontal="left" vertical="center"/>
    </xf>
    <xf numFmtId="0" fontId="16" fillId="15" borderId="0">
      <alignment horizontal="right" vertical="center"/>
    </xf>
    <xf numFmtId="0" fontId="16" fillId="15" borderId="0">
      <alignment horizontal="right" vertical="center"/>
    </xf>
    <xf numFmtId="0" fontId="16" fillId="15" borderId="0">
      <alignment horizontal="right" vertical="center"/>
    </xf>
    <xf numFmtId="49" fontId="5" fillId="0" borderId="5" applyProtection="0">
      <alignment horizontal="center" vertical="center" wrapText="1"/>
    </xf>
    <xf numFmtId="49" fontId="5" fillId="0" borderId="5" applyProtection="0">
      <alignment horizontal="center" vertical="center" wrapText="1"/>
    </xf>
    <xf numFmtId="0" fontId="16" fillId="15" borderId="0">
      <alignment horizontal="right" vertical="center"/>
    </xf>
    <xf numFmtId="0" fontId="16" fillId="15" borderId="0">
      <alignment horizontal="right" vertical="center"/>
    </xf>
    <xf numFmtId="181" fontId="22" fillId="0" borderId="5">
      <alignment horizontal="right" vertical="center" wrapText="1"/>
    </xf>
    <xf numFmtId="0" fontId="16" fillId="15" borderId="0">
      <alignment horizontal="right" vertical="center"/>
    </xf>
    <xf numFmtId="0" fontId="16" fillId="15" borderId="0">
      <alignment horizontal="right" vertical="center"/>
    </xf>
    <xf numFmtId="0" fontId="16" fillId="15" borderId="0">
      <alignment horizontal="right" vertical="center"/>
    </xf>
    <xf numFmtId="0" fontId="63" fillId="18" borderId="31">
      <alignment horizontal="left" vertical="center" indent="1"/>
    </xf>
    <xf numFmtId="0" fontId="63" fillId="18" borderId="31">
      <alignment horizontal="left" vertical="center" indent="1"/>
    </xf>
    <xf numFmtId="0" fontId="63" fillId="18" borderId="31" applyNumberFormat="0" applyProtection="0">
      <alignment horizontal="left" vertical="center" indent="1"/>
    </xf>
    <xf numFmtId="0" fontId="63" fillId="18" borderId="31" applyNumberFormat="0" applyProtection="0">
      <alignment horizontal="left" vertical="center" indent="1"/>
    </xf>
    <xf numFmtId="0" fontId="10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63" fillId="18" borderId="31" applyNumberFormat="0" applyProtection="0">
      <alignment horizontal="left" vertical="center" indent="1"/>
    </xf>
    <xf numFmtId="0" fontId="109" fillId="0" borderId="0">
      <alignment vertical="center"/>
    </xf>
    <xf numFmtId="181" fontId="22" fillId="0" borderId="5" applyProtection="0">
      <alignment horizontal="right" vertical="center" wrapText="1"/>
    </xf>
    <xf numFmtId="181" fontId="22" fillId="0" borderId="5" applyProtection="0">
      <alignment horizontal="right" vertical="center" wrapText="1"/>
    </xf>
    <xf numFmtId="0" fontId="63" fillId="18" borderId="31" applyNumberFormat="0" applyProtection="0">
      <alignment horizontal="left" vertical="center" indent="1"/>
    </xf>
    <xf numFmtId="181" fontId="22" fillId="0" borderId="5" applyProtection="0">
      <alignment horizontal="right" vertical="center" wrapText="1"/>
    </xf>
    <xf numFmtId="181" fontId="22" fillId="0" borderId="5" applyProtection="0">
      <alignment horizontal="right" vertical="center" wrapText="1"/>
    </xf>
    <xf numFmtId="0" fontId="63" fillId="18" borderId="31" applyNumberFormat="0" applyProtection="0">
      <alignment horizontal="left" vertical="center" indent="1"/>
    </xf>
    <xf numFmtId="181" fontId="22" fillId="0" borderId="5" applyProtection="0">
      <alignment horizontal="right" vertical="center" wrapText="1"/>
    </xf>
    <xf numFmtId="181" fontId="22" fillId="0" borderId="5" applyProtection="0">
      <alignment horizontal="right" vertical="center" wrapText="1"/>
    </xf>
    <xf numFmtId="0" fontId="63" fillId="18" borderId="31" applyNumberFormat="0" applyProtection="0">
      <alignment horizontal="left" vertical="center" indent="1"/>
    </xf>
    <xf numFmtId="181" fontId="22" fillId="0" borderId="5" applyProtection="0">
      <alignment horizontal="right" vertical="center" wrapText="1"/>
    </xf>
    <xf numFmtId="181" fontId="22" fillId="0" borderId="5" applyProtection="0">
      <alignment horizontal="right" vertical="center" wrapText="1"/>
    </xf>
    <xf numFmtId="0" fontId="63" fillId="18" borderId="31" applyNumberFormat="0" applyProtection="0">
      <alignment horizontal="left" vertical="center" indent="1"/>
    </xf>
    <xf numFmtId="181" fontId="22" fillId="0" borderId="5" applyProtection="0">
      <alignment horizontal="right" vertical="center" wrapText="1"/>
    </xf>
    <xf numFmtId="181" fontId="22" fillId="0" borderId="5" applyProtection="0">
      <alignment horizontal="right" vertical="center" wrapText="1"/>
    </xf>
    <xf numFmtId="199" fontId="79" fillId="34" borderId="31" applyProtection="0">
      <alignment horizontal="right" vertical="center"/>
    </xf>
    <xf numFmtId="199" fontId="79" fillId="12" borderId="31">
      <alignment horizontal="right" vertical="center"/>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199" fontId="79" fillId="12" borderId="31">
      <alignment horizontal="right" vertical="center"/>
    </xf>
    <xf numFmtId="49" fontId="5" fillId="0" borderId="5" applyProtection="0">
      <alignment horizontal="center" vertical="center" wrapText="1"/>
    </xf>
    <xf numFmtId="199" fontId="79" fillId="12" borderId="31">
      <alignment horizontal="right" vertical="center"/>
    </xf>
    <xf numFmtId="49" fontId="5" fillId="0" borderId="5" applyProtection="0">
      <alignment horizontal="center" vertical="center" wrapText="1"/>
    </xf>
    <xf numFmtId="199" fontId="79" fillId="12" borderId="31">
      <alignment horizontal="right" vertical="center"/>
    </xf>
    <xf numFmtId="49" fontId="5" fillId="0" borderId="5" applyProtection="0">
      <alignment horizontal="center" vertical="center" wrapText="1"/>
    </xf>
    <xf numFmtId="199" fontId="79" fillId="12" borderId="31">
      <alignment horizontal="right" vertical="center"/>
    </xf>
    <xf numFmtId="49" fontId="5" fillId="0" borderId="5" applyProtection="0">
      <alignment horizontal="center" vertical="center" wrapText="1"/>
    </xf>
    <xf numFmtId="199" fontId="79" fillId="12" borderId="31">
      <alignment horizontal="right" vertical="center"/>
    </xf>
    <xf numFmtId="199" fontId="79" fillId="12" borderId="31">
      <alignment horizontal="right" vertical="center"/>
    </xf>
    <xf numFmtId="199" fontId="79" fillId="34" borderId="31" applyProtection="0">
      <alignment horizontal="right" vertical="center"/>
    </xf>
    <xf numFmtId="199" fontId="79" fillId="34" borderId="31" applyProtection="0">
      <alignment horizontal="right" vertical="center"/>
    </xf>
    <xf numFmtId="178" fontId="5" fillId="0" borderId="5" applyProtection="0">
      <alignment horizontal="right" vertical="center" wrapText="1"/>
    </xf>
    <xf numFmtId="178" fontId="5" fillId="0" borderId="5" applyProtection="0">
      <alignment horizontal="right" vertical="center" wrapText="1"/>
    </xf>
    <xf numFmtId="199" fontId="79" fillId="34" borderId="31" applyProtection="0">
      <alignment horizontal="right" vertical="center"/>
    </xf>
    <xf numFmtId="178" fontId="5" fillId="0" borderId="5" applyProtection="0">
      <alignment horizontal="right" vertical="center" wrapText="1"/>
    </xf>
    <xf numFmtId="178" fontId="5" fillId="0" borderId="5" applyProtection="0">
      <alignment horizontal="right" vertical="center" wrapText="1"/>
    </xf>
    <xf numFmtId="199" fontId="79" fillId="34" borderId="31" applyProtection="0">
      <alignment horizontal="right" vertical="center"/>
    </xf>
    <xf numFmtId="178" fontId="5" fillId="0" borderId="5" applyProtection="0">
      <alignment horizontal="right" vertical="center" wrapText="1"/>
    </xf>
    <xf numFmtId="178" fontId="5" fillId="0" borderId="5" applyProtection="0">
      <alignment horizontal="right" vertical="center" wrapText="1"/>
    </xf>
    <xf numFmtId="199" fontId="79" fillId="34" borderId="31" applyProtection="0">
      <alignment horizontal="right" vertical="center"/>
    </xf>
    <xf numFmtId="178" fontId="5" fillId="0" borderId="5" applyProtection="0">
      <alignment horizontal="right" vertical="center" wrapText="1"/>
    </xf>
    <xf numFmtId="178" fontId="5" fillId="0" borderId="5" applyProtection="0">
      <alignment horizontal="right" vertical="center" wrapText="1"/>
    </xf>
    <xf numFmtId="199" fontId="79" fillId="34" borderId="31" applyProtection="0">
      <alignment horizontal="right" vertical="center"/>
    </xf>
    <xf numFmtId="178" fontId="5" fillId="0" borderId="5" applyProtection="0">
      <alignment horizontal="right" vertical="center" wrapText="1"/>
    </xf>
    <xf numFmtId="178" fontId="5" fillId="0" borderId="5" applyProtection="0">
      <alignment horizontal="right" vertical="center" wrapText="1"/>
    </xf>
    <xf numFmtId="199" fontId="79" fillId="34" borderId="31" applyProtection="0">
      <alignment horizontal="right" vertical="center"/>
    </xf>
    <xf numFmtId="0" fontId="48" fillId="0" borderId="4">
      <alignment horizontal="right"/>
    </xf>
    <xf numFmtId="178" fontId="5" fillId="0" borderId="5" applyProtection="0">
      <alignment horizontal="right" vertical="center" wrapText="1"/>
    </xf>
    <xf numFmtId="178" fontId="5" fillId="0" borderId="5" applyProtection="0">
      <alignment horizontal="right" vertical="center" wrapText="1"/>
    </xf>
    <xf numFmtId="0" fontId="22" fillId="6" borderId="7" applyNumberFormat="0" applyFont="0" applyAlignment="0">
      <alignment horizontal="center"/>
    </xf>
    <xf numFmtId="178" fontId="22" fillId="0" borderId="5">
      <alignment horizontal="right" vertical="center" wrapText="1"/>
    </xf>
    <xf numFmtId="178" fontId="22" fillId="0" borderId="5">
      <alignment horizontal="righ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horizontal="center" vertical="center" wrapText="1"/>
    </xf>
    <xf numFmtId="0" fontId="22" fillId="6" borderId="7" applyNumberFormat="0" applyFont="0" applyAlignment="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0" fontId="22" fillId="6" borderId="7" applyNumberFormat="0" applyFont="0" applyAlignment="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0" fontId="22" fillId="6" borderId="7" applyNumberFormat="0" applyFont="0" applyAlignment="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0" fontId="22" fillId="6" borderId="7" applyNumberFormat="0" applyFont="0" applyAlignment="0">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178" fontId="22" fillId="0" borderId="5" applyProtection="0">
      <alignment horizontal="right" vertical="center" wrapText="1"/>
    </xf>
    <xf numFmtId="0" fontId="22" fillId="6" borderId="7"/>
    <xf numFmtId="0" fontId="22" fillId="6" borderId="7"/>
    <xf numFmtId="0" fontId="22" fillId="6" borderId="7"/>
    <xf numFmtId="0" fontId="22" fillId="6" borderId="7"/>
    <xf numFmtId="181" fontId="22" fillId="0" borderId="5" applyProtection="0">
      <alignment horizontal="right" vertical="center" wrapText="1"/>
    </xf>
    <xf numFmtId="0" fontId="22" fillId="6" borderId="7"/>
    <xf numFmtId="181" fontId="22" fillId="0" borderId="5" applyProtection="0">
      <alignment horizontal="right" vertical="center" wrapText="1"/>
    </xf>
    <xf numFmtId="0" fontId="22" fillId="6" borderId="7"/>
    <xf numFmtId="0" fontId="22" fillId="6" borderId="7"/>
    <xf numFmtId="0" fontId="22" fillId="6" borderId="7"/>
    <xf numFmtId="0" fontId="22" fillId="6" borderId="7"/>
    <xf numFmtId="0" fontId="43" fillId="7" borderId="3">
      <alignment vertical="center"/>
      <protection locked="0"/>
    </xf>
    <xf numFmtId="0" fontId="22" fillId="6" borderId="7"/>
    <xf numFmtId="0" fontId="43" fillId="7" borderId="3">
      <alignment vertical="center"/>
      <protection locked="0"/>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vertic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xf numFmtId="0" fontId="22" fillId="6" borderId="7"/>
    <xf numFmtId="178" fontId="22" fillId="0" borderId="5">
      <alignment horizontal="right" vertical="center" wrapText="1"/>
    </xf>
    <xf numFmtId="178" fontId="22" fillId="0" borderId="5">
      <alignment horizontal="right" vertical="center" wrapText="1"/>
    </xf>
    <xf numFmtId="0" fontId="22" fillId="6" borderId="7"/>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178" fontId="22"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2" fillId="6" borderId="7"/>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2" fillId="6" borderId="7"/>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2" fillId="6" borderId="7"/>
    <xf numFmtId="197" fontId="24" fillId="0" borderId="0">
      <alignment vertical="center"/>
    </xf>
    <xf numFmtId="49" fontId="22" fillId="0" borderId="5">
      <alignment horizontal="center" vertical="center" wrapText="1"/>
    </xf>
    <xf numFmtId="0" fontId="22" fillId="6" borderId="7"/>
    <xf numFmtId="0" fontId="22" fillId="6" borderId="7"/>
    <xf numFmtId="0" fontId="22" fillId="6" borderId="7"/>
    <xf numFmtId="0" fontId="22" fillId="6" borderId="7"/>
    <xf numFmtId="49" fontId="22" fillId="0" borderId="5">
      <alignment horizontal="center" vertical="center" wrapText="1"/>
    </xf>
    <xf numFmtId="49" fontId="22" fillId="0" borderId="5">
      <alignment horizontal="center" vertical="center" wrapText="1"/>
    </xf>
    <xf numFmtId="0" fontId="22" fillId="6" borderId="7"/>
    <xf numFmtId="49" fontId="22" fillId="0" borderId="5">
      <alignment horizontal="center" vertical="center" wrapText="1"/>
    </xf>
    <xf numFmtId="49" fontId="22" fillId="0" borderId="5">
      <alignment horizontal="center" vertical="center" wrapText="1"/>
    </xf>
    <xf numFmtId="0" fontId="22" fillId="6" borderId="7"/>
    <xf numFmtId="49" fontId="22" fillId="0" borderId="5">
      <alignment horizontal="center" vertical="center" wrapText="1"/>
    </xf>
    <xf numFmtId="49" fontId="22" fillId="0" borderId="5">
      <alignment horizontal="center"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178" fontId="5" fillId="0" borderId="5">
      <alignment horizontal="right" vertical="center" wrapText="1"/>
    </xf>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22" fillId="6" borderId="7"/>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22" fillId="6" borderId="7"/>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49" fontId="22" fillId="0" borderId="5">
      <alignment horizontal="center" vertical="center" wrapText="1"/>
    </xf>
    <xf numFmtId="0" fontId="22" fillId="6" borderId="7" applyNumberFormat="0" applyFont="0" applyAlignment="0">
      <alignment horizontal="center" vertical="center"/>
    </xf>
    <xf numFmtId="0" fontId="22" fillId="6" borderId="7"/>
    <xf numFmtId="49" fontId="22" fillId="0" borderId="5">
      <alignment horizontal="center" vertical="center" wrapText="1"/>
    </xf>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0" fontId="22" fillId="6" borderId="7" applyNumberFormat="0" applyFont="0" applyAlignment="0">
      <alignment horizontal="center" vertical="center"/>
    </xf>
    <xf numFmtId="0" fontId="22" fillId="6" borderId="7"/>
    <xf numFmtId="178" fontId="22" fillId="0" borderId="5" applyProtection="0">
      <alignment horizontal="righ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197" fontId="22" fillId="0" borderId="0">
      <alignment vertic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49" fontId="22" fillId="0" borderId="5" applyProtection="0">
      <alignment horizontal="center"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178" fontId="22" fillId="0" borderId="5" applyProtection="0">
      <alignment horizontal="right" vertical="center" wrapText="1"/>
    </xf>
    <xf numFmtId="0" fontId="22" fillId="6" borderId="7" applyNumberFormat="0" applyFont="0" applyAlignment="0">
      <alignment horizontal="center" vertical="center"/>
    </xf>
    <xf numFmtId="0" fontId="45" fillId="6" borderId="7" applyNumberFormat="0" applyFont="0" applyAlignment="0">
      <alignment horizontal="center"/>
    </xf>
    <xf numFmtId="0" fontId="22" fillId="6" borderId="7" applyNumberFormat="0" applyFont="0" applyAlignment="0">
      <alignment horizontal="center"/>
    </xf>
    <xf numFmtId="0" fontId="22" fillId="6" borderId="7"/>
    <xf numFmtId="0" fontId="22" fillId="6" borderId="7"/>
    <xf numFmtId="0" fontId="22" fillId="6" borderId="7"/>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6" borderId="7"/>
    <xf numFmtId="0" fontId="22" fillId="6" borderId="7"/>
    <xf numFmtId="0" fontId="22" fillId="6" borderId="7"/>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0" fontId="22" fillId="6" borderId="7"/>
    <xf numFmtId="0" fontId="22" fillId="6" borderId="7"/>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178" fontId="5" fillId="0" borderId="5">
      <alignment horizontal="right" vertical="center" wrapText="1"/>
    </xf>
    <xf numFmtId="178" fontId="5" fillId="0" borderId="5">
      <alignment horizontal="right"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178" fontId="5" fillId="0" borderId="5" applyProtection="0">
      <alignment horizontal="right" vertical="center" wrapText="1"/>
    </xf>
    <xf numFmtId="0" fontId="22" fillId="6" borderId="7" applyNumberFormat="0" applyFont="0" applyAlignment="0">
      <alignment horizontal="center" vertical="center"/>
    </xf>
    <xf numFmtId="178" fontId="5" fillId="0" borderId="5" applyProtection="0">
      <alignment horizontal="right" vertical="center" wrapText="1"/>
    </xf>
    <xf numFmtId="0" fontId="22" fillId="6" borderId="7" applyNumberFormat="0" applyFont="0" applyAlignment="0">
      <alignment horizontal="center" vertical="center"/>
    </xf>
    <xf numFmtId="178" fontId="5" fillId="0" borderId="5" applyProtection="0">
      <alignment horizontal="right" vertical="center" wrapText="1"/>
    </xf>
    <xf numFmtId="0" fontId="22"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0" fontId="22"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0" fontId="22"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0" fontId="22"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0" fontId="22"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0" fontId="22"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0" fontId="24" fillId="6" borderId="7">
      <alignment vertical="center"/>
    </xf>
    <xf numFmtId="0" fontId="24" fillId="6" borderId="7">
      <alignment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4" fillId="6" borderId="7">
      <alignment vertical="center"/>
    </xf>
    <xf numFmtId="0" fontId="24" fillId="6" borderId="7">
      <alignment vertical="center"/>
    </xf>
    <xf numFmtId="0" fontId="24" fillId="6" borderId="7">
      <alignment vertical="center"/>
    </xf>
    <xf numFmtId="0" fontId="24" fillId="6" borderId="7">
      <alignment vertical="center"/>
    </xf>
    <xf numFmtId="0" fontId="24" fillId="6" borderId="7">
      <alignment vertical="center"/>
    </xf>
    <xf numFmtId="0" fontId="24" fillId="6" borderId="7">
      <alignment vertical="center"/>
    </xf>
    <xf numFmtId="0" fontId="24" fillId="6" borderId="7">
      <alignment vertical="center"/>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0" fontId="22" fillId="6" borderId="7"/>
    <xf numFmtId="0" fontId="24" fillId="6" borderId="7">
      <alignment vertical="center"/>
    </xf>
    <xf numFmtId="49" fontId="5" fillId="0" borderId="5" applyProtection="0">
      <alignment horizontal="center" vertical="center" wrapText="1"/>
    </xf>
    <xf numFmtId="0" fontId="24" fillId="6" borderId="7">
      <alignment vertical="center"/>
    </xf>
    <xf numFmtId="0" fontId="24" fillId="6" borderId="7">
      <alignment vertical="center"/>
    </xf>
    <xf numFmtId="0" fontId="24" fillId="6" borderId="7">
      <alignment vertical="center"/>
    </xf>
    <xf numFmtId="0" fontId="24" fillId="6" borderId="7">
      <alignment vertic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xf numFmtId="0" fontId="22" fillId="6" borderId="7"/>
    <xf numFmtId="0" fontId="22" fillId="6" borderId="7"/>
    <xf numFmtId="0" fontId="22" fillId="6" borderId="7"/>
    <xf numFmtId="0" fontId="22" fillId="6" borderId="7" applyNumberFormat="0" applyFont="0" applyAlignment="0">
      <alignment horizontal="center"/>
    </xf>
    <xf numFmtId="49" fontId="22" fillId="0" borderId="5">
      <alignment vertical="center" wrapText="1"/>
    </xf>
    <xf numFmtId="49" fontId="22" fillId="0" borderId="5">
      <alignment vertical="center" wrapText="1"/>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xf numFmtId="178" fontId="5" fillId="0" borderId="5">
      <alignment horizontal="right" vertical="center" wrapText="1"/>
    </xf>
    <xf numFmtId="0" fontId="22" fillId="6" borderId="7"/>
    <xf numFmtId="0" fontId="22" fillId="6" borderId="7"/>
    <xf numFmtId="178" fontId="22" fillId="0" borderId="5" applyProtection="0">
      <alignment horizontal="right" vertical="center" wrapText="1"/>
    </xf>
    <xf numFmtId="178" fontId="22" fillId="0" borderId="5" applyProtection="0">
      <alignment horizontal="right" vertical="center" wrapText="1"/>
    </xf>
    <xf numFmtId="0" fontId="22" fillId="6" borderId="7"/>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22" fillId="6" borderId="7"/>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181" fontId="5" fillId="0" borderId="5">
      <alignment horizontal="right" vertical="center" wrapText="1"/>
    </xf>
    <xf numFmtId="181" fontId="5" fillId="0" borderId="5">
      <alignment horizontal="right" vertical="center" wrapText="1"/>
    </xf>
    <xf numFmtId="0" fontId="22" fillId="6" borderId="7"/>
    <xf numFmtId="49" fontId="22" fillId="0" borderId="5" applyProtection="0">
      <alignment vertical="center" wrapText="1"/>
    </xf>
    <xf numFmtId="49" fontId="22" fillId="0" borderId="5" applyProtection="0">
      <alignment vertical="center" wrapText="1"/>
    </xf>
    <xf numFmtId="0" fontId="22" fillId="6" borderId="7"/>
    <xf numFmtId="181" fontId="5" fillId="0" borderId="5">
      <alignment horizontal="right" vertical="center" wrapText="1"/>
    </xf>
    <xf numFmtId="0" fontId="22" fillId="6" borderId="7"/>
    <xf numFmtId="181" fontId="5" fillId="0" borderId="5">
      <alignment horizontal="right" vertical="center" wrapText="1"/>
    </xf>
    <xf numFmtId="0" fontId="22" fillId="6" borderId="7"/>
    <xf numFmtId="181" fontId="5"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181" fontId="22" fillId="0" borderId="5">
      <alignment horizontal="right" vertical="center" wrapText="1"/>
    </xf>
    <xf numFmtId="181" fontId="22"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0" fontId="22" fillId="5" borderId="36" applyNumberFormat="0" applyFont="0" applyAlignment="0" applyProtection="0">
      <alignment vertical="center"/>
    </xf>
    <xf numFmtId="0" fontId="22" fillId="6" borderId="7"/>
    <xf numFmtId="0" fontId="22" fillId="5" borderId="36" applyNumberFormat="0" applyFont="0" applyAlignment="0" applyProtection="0">
      <alignment vertical="center"/>
    </xf>
    <xf numFmtId="0" fontId="22" fillId="6" borderId="7"/>
    <xf numFmtId="0" fontId="22" fillId="5" borderId="36" applyNumberFormat="0" applyFont="0" applyAlignment="0" applyProtection="0">
      <alignment vertical="center"/>
    </xf>
    <xf numFmtId="0" fontId="22" fillId="6" borderId="7"/>
    <xf numFmtId="0" fontId="22" fillId="5" borderId="36" applyNumberFormat="0" applyFont="0" applyAlignment="0" applyProtection="0">
      <alignment vertical="center"/>
    </xf>
    <xf numFmtId="0" fontId="22" fillId="6" borderId="7"/>
    <xf numFmtId="0" fontId="22" fillId="5" borderId="36" applyNumberFormat="0" applyFont="0" applyAlignment="0" applyProtection="0">
      <alignment vertical="center"/>
    </xf>
    <xf numFmtId="0" fontId="22" fillId="6" borderId="7"/>
    <xf numFmtId="0" fontId="22" fillId="6" borderId="7"/>
    <xf numFmtId="0" fontId="22" fillId="6" borderId="7"/>
    <xf numFmtId="0" fontId="22" fillId="6" borderId="7"/>
    <xf numFmtId="0" fontId="22" fillId="5" borderId="36" applyNumberFormat="0" applyFont="0" applyAlignment="0" applyProtection="0">
      <alignment vertical="center"/>
    </xf>
    <xf numFmtId="0" fontId="22" fillId="6" borderId="7"/>
    <xf numFmtId="181" fontId="22" fillId="0" borderId="5">
      <alignment horizontal="right" vertical="center" wrapText="1"/>
    </xf>
    <xf numFmtId="0" fontId="22" fillId="5" borderId="36" applyNumberFormat="0" applyFont="0" applyAlignment="0" applyProtection="0">
      <alignment vertical="center"/>
    </xf>
    <xf numFmtId="0" fontId="22" fillId="6" borderId="7"/>
    <xf numFmtId="181" fontId="22" fillId="0" borderId="5">
      <alignment horizontal="right" vertical="center" wrapText="1"/>
    </xf>
    <xf numFmtId="0" fontId="22" fillId="5" borderId="36" applyNumberFormat="0" applyFont="0" applyAlignment="0" applyProtection="0">
      <alignment vertical="center"/>
    </xf>
    <xf numFmtId="0" fontId="22" fillId="6" borderId="7"/>
    <xf numFmtId="181" fontId="22" fillId="0" borderId="5">
      <alignment horizontal="right" vertical="center" wrapText="1"/>
    </xf>
    <xf numFmtId="0" fontId="22" fillId="5" borderId="36" applyNumberFormat="0" applyFont="0" applyAlignment="0" applyProtection="0">
      <alignment vertical="center"/>
    </xf>
    <xf numFmtId="0" fontId="22" fillId="6" borderId="7"/>
    <xf numFmtId="181" fontId="22" fillId="0" borderId="5">
      <alignment horizontal="right" vertical="center" wrapText="1"/>
    </xf>
    <xf numFmtId="0" fontId="22" fillId="5" borderId="36" applyNumberFormat="0" applyFont="0" applyAlignment="0" applyProtection="0">
      <alignment vertical="center"/>
    </xf>
    <xf numFmtId="0" fontId="22" fillId="6" borderId="7"/>
    <xf numFmtId="181" fontId="22"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81" fontId="22" fillId="0" borderId="5" applyProtection="0">
      <alignment horizontal="right" vertical="center" wrapText="1"/>
    </xf>
    <xf numFmtId="0" fontId="22" fillId="6" borderId="7"/>
    <xf numFmtId="181" fontId="22" fillId="0" borderId="5" applyProtection="0">
      <alignment horizontal="right" vertical="center" wrapText="1"/>
    </xf>
    <xf numFmtId="0" fontId="22" fillId="6" borderId="7"/>
    <xf numFmtId="181" fontId="22" fillId="0" borderId="5" applyProtection="0">
      <alignment horizontal="right" vertical="center" wrapText="1"/>
    </xf>
    <xf numFmtId="0" fontId="22" fillId="6" borderId="7"/>
    <xf numFmtId="181" fontId="22" fillId="0" borderId="5" applyProtection="0">
      <alignment horizontal="right" vertical="center" wrapText="1"/>
    </xf>
    <xf numFmtId="0" fontId="22" fillId="6" borderId="7"/>
    <xf numFmtId="181" fontId="22" fillId="0" borderId="5" applyProtection="0">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181" fontId="5" fillId="0" borderId="5" applyProtection="0">
      <alignment horizontal="right" vertical="center" wrapText="1"/>
    </xf>
    <xf numFmtId="181" fontId="5" fillId="0" borderId="5" applyProtection="0">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45" fillId="6" borderId="7" applyNumberFormat="0" applyFont="0" applyAlignment="0">
      <alignment horizontal="center"/>
    </xf>
    <xf numFmtId="178" fontId="5" fillId="0" borderId="5">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22" fillId="6" borderId="7" applyNumberFormat="0" applyFont="0" applyAlignment="0">
      <alignment horizontal="center" vertical="center"/>
    </xf>
    <xf numFmtId="178" fontId="22" fillId="0" borderId="5" applyProtection="0">
      <alignment horizontal="right"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22" fillId="6" borderId="7" applyNumberFormat="0" applyFont="0" applyAlignment="0">
      <alignment horizontal="center"/>
    </xf>
    <xf numFmtId="0" fontId="45" fillId="6" borderId="7" applyNumberFormat="0" applyFont="0" applyAlignment="0">
      <alignment horizontal="center"/>
    </xf>
    <xf numFmtId="49" fontId="22" fillId="0" borderId="5" applyProtection="0">
      <alignment horizontal="center" vertical="center" wrapText="1"/>
    </xf>
    <xf numFmtId="49" fontId="22" fillId="0" borderId="5" applyProtection="0">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0" fontId="45" fillId="6" borderId="7" applyNumberFormat="0" applyFont="0" applyAlignment="0">
      <alignment horizontal="center"/>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0" fontId="45" fillId="6" borderId="7" applyNumberFormat="0" applyFont="0" applyAlignment="0">
      <alignment horizontal="center"/>
    </xf>
    <xf numFmtId="178" fontId="5" fillId="0" borderId="5">
      <alignment horizontal="right" vertical="center" wrapText="1"/>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49" fontId="22" fillId="0" borderId="5" applyProtection="0">
      <alignment horizontal="center" vertical="center" wrapText="1"/>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22" fillId="6" borderId="7" applyNumberFormat="0" applyFont="0" applyAlignment="0">
      <alignment horizontal="center"/>
    </xf>
    <xf numFmtId="49" fontId="22" fillId="0" borderId="5" applyProtection="0">
      <alignment vertical="center" wrapText="1"/>
    </xf>
    <xf numFmtId="49" fontId="22" fillId="0" borderId="5" applyProtection="0">
      <alignment vertical="center" wrapText="1"/>
    </xf>
    <xf numFmtId="0" fontId="45" fillId="6" borderId="7" applyNumberFormat="0" applyFont="0" applyAlignment="0">
      <alignment horizontal="center"/>
    </xf>
    <xf numFmtId="49" fontId="22" fillId="0" borderId="5" applyProtection="0">
      <alignment horizontal="center" vertical="center" wrapText="1"/>
    </xf>
    <xf numFmtId="49" fontId="22" fillId="0" borderId="5" applyProtection="0">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49" fontId="22" fillId="0" borderId="5" applyProtection="0">
      <alignment horizontal="center" vertical="center" wrapText="1"/>
    </xf>
    <xf numFmtId="49" fontId="22" fillId="0" borderId="5" applyProtection="0">
      <alignment horizontal="center"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22" fillId="6" borderId="7" applyNumberFormat="0" applyFont="0" applyAlignment="0">
      <alignment horizontal="center"/>
    </xf>
    <xf numFmtId="49" fontId="22" fillId="0" borderId="5" applyProtection="0">
      <alignment vertical="center" wrapText="1"/>
    </xf>
    <xf numFmtId="49" fontId="22" fillId="0" borderId="5" applyProtection="0">
      <alignment vertical="center" wrapText="1"/>
    </xf>
    <xf numFmtId="0" fontId="45" fillId="6" borderId="7" applyNumberFormat="0" applyFont="0" applyAlignment="0">
      <alignment horizontal="center"/>
    </xf>
    <xf numFmtId="49" fontId="22" fillId="0" borderId="5" applyProtection="0">
      <alignment horizontal="center" vertical="center" wrapText="1"/>
    </xf>
    <xf numFmtId="49" fontId="22" fillId="0" borderId="5" applyProtection="0">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0" fontId="45" fillId="6" borderId="7" applyNumberFormat="0" applyFont="0" applyAlignment="0">
      <alignment horizontal="center"/>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45" fillId="6" borderId="7" applyNumberFormat="0" applyFont="0" applyAlignment="0">
      <alignment horizontal="center"/>
    </xf>
    <xf numFmtId="0" fontId="24" fillId="6" borderId="7">
      <alignment vertical="center"/>
    </xf>
    <xf numFmtId="0" fontId="22" fillId="6" borderId="7"/>
    <xf numFmtId="0" fontId="22" fillId="6" borderId="7"/>
    <xf numFmtId="0" fontId="22" fillId="6" borderId="7"/>
    <xf numFmtId="49" fontId="5" fillId="0" borderId="5" applyProtection="0">
      <alignment vertical="center" wrapText="1"/>
    </xf>
    <xf numFmtId="49" fontId="5" fillId="0" borderId="5" applyProtection="0">
      <alignment vertical="center" wrapText="1"/>
    </xf>
    <xf numFmtId="49" fontId="5" fillId="0" borderId="5">
      <alignment horizontal="center" vertical="center" wrapText="1"/>
    </xf>
    <xf numFmtId="0" fontId="22" fillId="6" borderId="7"/>
    <xf numFmtId="49" fontId="5" fillId="0" borderId="5">
      <alignment horizontal="center" vertical="center" wrapText="1"/>
    </xf>
    <xf numFmtId="0" fontId="22" fillId="6" borderId="7"/>
    <xf numFmtId="178" fontId="5" fillId="0" borderId="5" applyProtection="0">
      <alignment horizontal="right" vertical="center" wrapText="1"/>
    </xf>
    <xf numFmtId="49" fontId="5" fillId="0" borderId="5">
      <alignment horizontal="center" vertical="center" wrapText="1"/>
    </xf>
    <xf numFmtId="0" fontId="22" fillId="6" borderId="7"/>
    <xf numFmtId="178" fontId="5" fillId="0" borderId="5" applyProtection="0">
      <alignment horizontal="right" vertical="center" wrapText="1"/>
    </xf>
    <xf numFmtId="49" fontId="5" fillId="0" borderId="5">
      <alignment horizontal="center" vertical="center" wrapText="1"/>
    </xf>
    <xf numFmtId="0" fontId="22" fillId="6" borderId="7"/>
    <xf numFmtId="178" fontId="5" fillId="0" borderId="5" applyProtection="0">
      <alignment horizontal="right" vertical="center" wrapText="1"/>
    </xf>
    <xf numFmtId="49" fontId="5" fillId="0" borderId="5">
      <alignment horizontal="center" vertical="center" wrapText="1"/>
    </xf>
    <xf numFmtId="0" fontId="22" fillId="6" borderId="7"/>
    <xf numFmtId="178" fontId="5" fillId="0" borderId="5" applyProtection="0">
      <alignment horizontal="right" vertical="center" wrapText="1"/>
    </xf>
    <xf numFmtId="49" fontId="5" fillId="0" borderId="5">
      <alignment horizontal="center" vertical="center" wrapText="1"/>
    </xf>
    <xf numFmtId="0" fontId="22" fillId="6" borderId="7"/>
    <xf numFmtId="178" fontId="5" fillId="0" borderId="5" applyProtection="0">
      <alignment horizontal="right" vertical="center" wrapText="1"/>
    </xf>
    <xf numFmtId="49" fontId="5" fillId="0" borderId="5">
      <alignment horizontal="center" vertical="center" wrapText="1"/>
    </xf>
    <xf numFmtId="0" fontId="22" fillId="6" borderId="7"/>
    <xf numFmtId="178" fontId="5" fillId="0" borderId="5" applyProtection="0">
      <alignment horizontal="right" vertical="center" wrapText="1"/>
    </xf>
    <xf numFmtId="49" fontId="5" fillId="0" borderId="5">
      <alignment horizontal="center" vertical="center" wrapText="1"/>
    </xf>
    <xf numFmtId="0" fontId="22" fillId="6" borderId="7"/>
    <xf numFmtId="49" fontId="5" fillId="0" borderId="5" applyProtection="0">
      <alignment vertical="center" wrapText="1"/>
    </xf>
    <xf numFmtId="49" fontId="5" fillId="0" borderId="5" applyProtection="0">
      <alignmen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45" fillId="6" borderId="7" applyNumberFormat="0" applyFont="0" applyAlignment="0">
      <alignment horizont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24" fillId="6" borderId="7">
      <alignment vertical="center"/>
    </xf>
    <xf numFmtId="0" fontId="45" fillId="6" borderId="7" applyNumberFormat="0" applyFont="0" applyAlignment="0">
      <alignment horizontal="center"/>
    </xf>
    <xf numFmtId="0" fontId="45" fillId="6" borderId="7" applyNumberFormat="0" applyFont="0" applyAlignment="0">
      <alignment horizontal="center"/>
    </xf>
    <xf numFmtId="178" fontId="5" fillId="0" borderId="5" applyProtection="0">
      <alignment horizontal="right" vertical="center" wrapText="1"/>
    </xf>
    <xf numFmtId="178" fontId="5" fillId="0" borderId="5" applyProtection="0">
      <alignment horizontal="right" vertical="center" wrapText="1"/>
    </xf>
    <xf numFmtId="0" fontId="45" fillId="6" borderId="7" applyNumberFormat="0" applyFont="0" applyAlignment="0">
      <alignment horizontal="center"/>
    </xf>
    <xf numFmtId="178" fontId="5" fillId="0" borderId="5" applyProtection="0">
      <alignment horizontal="right" vertical="center" wrapText="1"/>
    </xf>
    <xf numFmtId="178" fontId="5" fillId="0" borderId="5" applyProtection="0">
      <alignment horizontal="right" vertical="center" wrapText="1"/>
    </xf>
    <xf numFmtId="0" fontId="45" fillId="6" borderId="7" applyNumberFormat="0" applyFont="0" applyAlignment="0">
      <alignment horizontal="center"/>
    </xf>
    <xf numFmtId="178" fontId="5" fillId="0" borderId="5" applyProtection="0">
      <alignment horizontal="right" vertical="center" wrapText="1"/>
    </xf>
    <xf numFmtId="178" fontId="5" fillId="0" borderId="5" applyProtection="0">
      <alignment horizontal="right" vertical="center" wrapText="1"/>
    </xf>
    <xf numFmtId="0" fontId="24" fillId="6" borderId="7">
      <alignment vertical="center"/>
    </xf>
    <xf numFmtId="0" fontId="22" fillId="6" borderId="7"/>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4" fillId="6" borderId="7">
      <alignment vertical="center"/>
    </xf>
    <xf numFmtId="49" fontId="5" fillId="0" borderId="5" applyProtection="0">
      <alignment horizontal="center" vertical="center" wrapText="1"/>
    </xf>
    <xf numFmtId="0" fontId="24" fillId="6" borderId="7">
      <alignment vertical="center"/>
    </xf>
    <xf numFmtId="0" fontId="24" fillId="6" borderId="7">
      <alignment vertical="center"/>
    </xf>
    <xf numFmtId="0" fontId="24" fillId="6" borderId="7">
      <alignment vertical="center"/>
    </xf>
    <xf numFmtId="0" fontId="24" fillId="6" borderId="7">
      <alignment vertical="center"/>
    </xf>
    <xf numFmtId="0" fontId="22" fillId="6" borderId="7"/>
    <xf numFmtId="0" fontId="22" fillId="6" borderId="7"/>
    <xf numFmtId="49" fontId="22" fillId="0" borderId="5">
      <alignment vertical="center" wrapText="1"/>
    </xf>
    <xf numFmtId="49" fontId="22" fillId="0" borderId="5">
      <alignment vertical="center" wrapText="1"/>
    </xf>
    <xf numFmtId="0" fontId="22" fillId="6" borderId="7"/>
    <xf numFmtId="0" fontId="22" fillId="6" borderId="7"/>
    <xf numFmtId="0" fontId="22" fillId="6" borderId="7"/>
    <xf numFmtId="0" fontId="22" fillId="6" borderId="7"/>
    <xf numFmtId="0" fontId="22" fillId="6" borderId="7"/>
    <xf numFmtId="49" fontId="22" fillId="0" borderId="5">
      <alignment vertical="center" wrapText="1"/>
    </xf>
    <xf numFmtId="49" fontId="22" fillId="0" borderId="5">
      <alignmen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49" fontId="22" fillId="0" borderId="5">
      <alignment vertical="center" wrapText="1"/>
    </xf>
    <xf numFmtId="49" fontId="22" fillId="0" borderId="5">
      <alignment vertical="center" wrapText="1"/>
    </xf>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181" fontId="5" fillId="0" borderId="5" applyProtection="0">
      <alignment horizontal="right" vertical="center" wrapText="1"/>
    </xf>
    <xf numFmtId="181" fontId="5" fillId="0" borderId="5" applyProtection="0">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49" fontId="22" fillId="0" borderId="5" applyProtection="0">
      <alignment vertical="center" wrapText="1"/>
    </xf>
    <xf numFmtId="49" fontId="22" fillId="0" borderId="5" applyProtection="0">
      <alignment vertical="center" wrapText="1"/>
    </xf>
    <xf numFmtId="0" fontId="22" fillId="6" borderId="7"/>
    <xf numFmtId="49" fontId="22" fillId="0" borderId="5" applyProtection="0">
      <alignment horizontal="center"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49" fontId="22" fillId="0" borderId="5">
      <alignment horizontal="center"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178" fontId="5" fillId="0" borderId="5">
      <alignment horizontal="right" vertical="center" wrapText="1"/>
    </xf>
    <xf numFmtId="0" fontId="22" fillId="6" borderId="7"/>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49" fontId="22" fillId="0" borderId="5" applyProtection="0">
      <alignment horizontal="center" vertical="center" wrapText="1"/>
    </xf>
    <xf numFmtId="49" fontId="22" fillId="0" borderId="5" applyProtection="0">
      <alignment horizontal="center" vertical="center" wrapText="1"/>
    </xf>
    <xf numFmtId="0" fontId="22" fillId="6" borderId="7"/>
    <xf numFmtId="0" fontId="22" fillId="6" borderId="7"/>
    <xf numFmtId="0" fontId="22" fillId="6" borderId="7"/>
    <xf numFmtId="0" fontId="43" fillId="7" borderId="3">
      <alignment vertical="center"/>
      <protection locked="0"/>
    </xf>
    <xf numFmtId="0" fontId="22" fillId="6" borderId="7"/>
    <xf numFmtId="0" fontId="43" fillId="7" borderId="3">
      <alignment vertical="center"/>
      <protection locked="0"/>
    </xf>
    <xf numFmtId="0" fontId="22" fillId="6" borderId="7"/>
    <xf numFmtId="178" fontId="5" fillId="0" borderId="5">
      <alignment horizontal="right" vertical="center" wrapText="1"/>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43" fillId="7" borderId="3">
      <alignment vertical="center"/>
      <protection locked="0"/>
    </xf>
    <xf numFmtId="0" fontId="22" fillId="6" borderId="7"/>
    <xf numFmtId="178" fontId="5" fillId="0" borderId="5">
      <alignment horizontal="right" vertical="center" wrapText="1"/>
    </xf>
    <xf numFmtId="0" fontId="22" fillId="6" borderId="7"/>
    <xf numFmtId="0" fontId="22" fillId="6" borderId="7"/>
    <xf numFmtId="181" fontId="5" fillId="0" borderId="5" applyProtection="0">
      <alignment horizontal="right" vertical="center" wrapText="1"/>
    </xf>
    <xf numFmtId="181" fontId="5" fillId="0" borderId="5" applyProtection="0">
      <alignment horizontal="right" vertical="center" wrapText="1"/>
    </xf>
    <xf numFmtId="0" fontId="22" fillId="6" borderId="7"/>
    <xf numFmtId="0" fontId="22" fillId="6" borderId="7"/>
    <xf numFmtId="0" fontId="22" fillId="6" borderId="7"/>
    <xf numFmtId="0" fontId="22" fillId="6" borderId="7"/>
    <xf numFmtId="0" fontId="22" fillId="6" borderId="7"/>
    <xf numFmtId="0" fontId="43" fillId="7" borderId="3">
      <alignment vertical="center"/>
      <protection locked="0"/>
    </xf>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xf numFmtId="0" fontId="22" fillId="6" borderId="7" applyNumberFormat="0" applyFont="0" applyAlignment="0">
      <alignment horizont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xf>
    <xf numFmtId="49" fontId="22" fillId="0" borderId="5" applyProtection="0">
      <alignment vertical="center" wrapText="1"/>
    </xf>
    <xf numFmtId="49" fontId="22" fillId="0" borderId="5" applyProtection="0">
      <alignment vertical="center" wrapText="1"/>
    </xf>
    <xf numFmtId="0" fontId="22" fillId="6" borderId="7" applyNumberFormat="0" applyFont="0" applyAlignment="0">
      <alignment horizontal="center"/>
    </xf>
    <xf numFmtId="0" fontId="22" fillId="6" borderId="7" applyNumberFormat="0" applyFont="0" applyAlignment="0">
      <alignment horizontal="center"/>
    </xf>
    <xf numFmtId="0" fontId="22" fillId="6" borderId="7"/>
    <xf numFmtId="0" fontId="22" fillId="6" borderId="7"/>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xf numFmtId="49" fontId="5" fillId="0" borderId="5" applyProtection="0">
      <alignment horizontal="center" vertical="center" wrapText="1"/>
    </xf>
    <xf numFmtId="0" fontId="22" fillId="6" borderId="7"/>
    <xf numFmtId="0" fontId="22" fillId="6" borderId="7"/>
    <xf numFmtId="0" fontId="22" fillId="6" borderId="7"/>
    <xf numFmtId="0" fontId="22" fillId="6" borderId="7"/>
    <xf numFmtId="0" fontId="22" fillId="6" borderId="7"/>
    <xf numFmtId="49" fontId="22" fillId="0" borderId="5">
      <alignment vertical="center" wrapText="1"/>
    </xf>
    <xf numFmtId="49" fontId="22" fillId="0" borderId="5">
      <alignment vertical="center" wrapText="1"/>
    </xf>
    <xf numFmtId="0" fontId="22" fillId="6" borderId="7"/>
    <xf numFmtId="49" fontId="22" fillId="0" borderId="5">
      <alignment vertical="center" wrapText="1"/>
    </xf>
    <xf numFmtId="49" fontId="22" fillId="0" borderId="5">
      <alignment vertical="center" wrapText="1"/>
    </xf>
    <xf numFmtId="0" fontId="22" fillId="6" borderId="7"/>
    <xf numFmtId="49" fontId="22" fillId="0" borderId="5">
      <alignment vertical="center" wrapText="1"/>
    </xf>
    <xf numFmtId="49" fontId="22" fillId="0" borderId="5">
      <alignment vertical="center" wrapText="1"/>
    </xf>
    <xf numFmtId="0" fontId="22" fillId="6" borderId="7"/>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5" fillId="0" borderId="5" applyProtection="0">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178" fontId="22" fillId="0" borderId="5" applyProtection="0">
      <alignment horizontal="righ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0" fontId="22" fillId="6" borderId="7" applyNumberFormat="0" applyFont="0" applyAlignment="0">
      <alignment horizontal="center" vertical="center"/>
    </xf>
    <xf numFmtId="49" fontId="22" fillId="0" borderId="5">
      <alignment vertical="center" wrapText="1"/>
    </xf>
    <xf numFmtId="49" fontId="22" fillId="0" borderId="5">
      <alignmen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43" fillId="7" borderId="3">
      <alignment vertical="center"/>
      <protection locked="0"/>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0" fontId="43" fillId="7" borderId="3">
      <alignment vertical="center"/>
      <protection locked="0"/>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0" fontId="43" fillId="7" borderId="3">
      <alignment vertical="center"/>
      <protection locked="0"/>
    </xf>
    <xf numFmtId="49" fontId="22" fillId="0" borderId="5">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0" fontId="43" fillId="7" borderId="3">
      <alignment vertical="center"/>
      <protection locked="0"/>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0" fontId="43" fillId="7" borderId="3">
      <alignment vertical="center"/>
      <protection locked="0"/>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43" fillId="7" borderId="3">
      <alignment vertical="center"/>
      <protection locked="0"/>
    </xf>
    <xf numFmtId="49" fontId="22" fillId="0" borderId="5">
      <alignment vertical="center" wrapText="1"/>
    </xf>
    <xf numFmtId="0" fontId="22" fillId="6" borderId="7" applyNumberFormat="0" applyFont="0" applyAlignment="0">
      <alignment horizontal="center" vertical="center"/>
    </xf>
    <xf numFmtId="0" fontId="43" fillId="7" borderId="3">
      <alignment vertical="center"/>
      <protection locked="0"/>
    </xf>
    <xf numFmtId="49" fontId="22" fillId="0" borderId="5">
      <alignment vertical="center" wrapText="1"/>
    </xf>
    <xf numFmtId="0" fontId="22" fillId="6" borderId="7" applyNumberFormat="0" applyFont="0" applyAlignment="0">
      <alignment horizontal="center" vertical="center"/>
    </xf>
    <xf numFmtId="0" fontId="43" fillId="7" borderId="3">
      <alignment vertical="center"/>
      <protection locked="0"/>
    </xf>
    <xf numFmtId="49" fontId="22" fillId="0" borderId="5">
      <alignment vertical="center" wrapText="1"/>
    </xf>
    <xf numFmtId="0" fontId="22" fillId="6" borderId="7" applyNumberFormat="0" applyFont="0" applyAlignment="0">
      <alignment horizontal="center" vertical="center"/>
    </xf>
    <xf numFmtId="0" fontId="43" fillId="7" borderId="3">
      <alignment vertical="center"/>
      <protection locked="0"/>
    </xf>
    <xf numFmtId="0" fontId="22" fillId="6" borderId="7" applyNumberFormat="0" applyFont="0" applyAlignment="0">
      <alignment horizontal="center" vertical="center"/>
    </xf>
    <xf numFmtId="0" fontId="43" fillId="7" borderId="3">
      <alignment vertical="center"/>
      <protection locked="0"/>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pplyProtection="0">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49" fontId="22" fillId="0" borderId="5" applyProtection="0">
      <alignmen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horizontal="center"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22" fillId="0" borderId="5" applyProtection="0">
      <alignment vertical="center" wrapText="1"/>
    </xf>
    <xf numFmtId="0" fontId="22" fillId="6" borderId="7" applyNumberFormat="0" applyFont="0" applyAlignment="0">
      <alignment horizontal="center" vertical="center"/>
    </xf>
    <xf numFmtId="49" fontId="22" fillId="0" borderId="5" applyProtection="0">
      <alignment vertical="center" wrapText="1"/>
    </xf>
    <xf numFmtId="0" fontId="22" fillId="6" borderId="7" applyNumberFormat="0" applyFont="0" applyAlignment="0">
      <alignment horizontal="center" vertical="center"/>
    </xf>
    <xf numFmtId="49" fontId="22" fillId="0" borderId="5" applyProtection="0">
      <alignment vertical="center" wrapText="1"/>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49" fontId="5" fillId="0" borderId="5" applyProtection="0">
      <alignment horizontal="center" vertical="center" wrapText="1"/>
    </xf>
    <xf numFmtId="0" fontId="67" fillId="21" borderId="0" applyProtection="0">
      <alignment vertical="center"/>
    </xf>
    <xf numFmtId="0" fontId="22" fillId="6" borderId="7" applyNumberFormat="0" applyFont="0" applyAlignment="0">
      <alignment horizontal="center" vertical="center"/>
    </xf>
    <xf numFmtId="49" fontId="5" fillId="0" borderId="5" applyProtection="0">
      <alignment horizontal="center" vertical="center" wrapText="1"/>
    </xf>
    <xf numFmtId="0" fontId="67" fillId="21" borderId="0"/>
    <xf numFmtId="0" fontId="22" fillId="6" borderId="7" applyNumberFormat="0" applyFont="0" applyAlignment="0">
      <alignment horizontal="center" vertical="center"/>
    </xf>
    <xf numFmtId="49" fontId="5" fillId="0" borderId="5" applyProtection="0">
      <alignment horizontal="center" vertical="center" wrapText="1"/>
    </xf>
    <xf numFmtId="0" fontId="67" fillId="21" borderId="0"/>
    <xf numFmtId="0" fontId="22" fillId="6" borderId="7" applyNumberFormat="0" applyFont="0" applyAlignment="0">
      <alignment horizontal="center" vertical="center"/>
    </xf>
    <xf numFmtId="0" fontId="67" fillId="21" borderId="0"/>
    <xf numFmtId="0" fontId="22" fillId="6" borderId="7" applyNumberFormat="0" applyFont="0" applyAlignment="0">
      <alignment horizontal="center" vertical="center"/>
    </xf>
    <xf numFmtId="0" fontId="67" fillId="21" borderId="0"/>
    <xf numFmtId="0" fontId="67" fillId="21" borderId="0" applyProtection="0">
      <alignment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22" fillId="6" borderId="7" applyNumberFormat="0" applyFont="0" applyAlignment="0">
      <alignment horizontal="center" vertical="center"/>
    </xf>
    <xf numFmtId="0" fontId="75" fillId="0" borderId="0" applyNumberFormat="0" applyFill="0" applyBorder="0" applyAlignment="0">
      <alignment horizontal="center"/>
    </xf>
    <xf numFmtId="178" fontId="22" fillId="0" borderId="5" applyProtection="0">
      <alignment horizontal="right" vertical="center" wrapText="1"/>
    </xf>
    <xf numFmtId="178" fontId="22" fillId="0" borderId="5" applyProtection="0">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vertical="center"/>
    </xf>
    <xf numFmtId="49" fontId="22" fillId="0" borderId="5" applyProtection="0">
      <alignment vertical="center" wrapText="1"/>
    </xf>
    <xf numFmtId="0" fontId="75" fillId="0" borderId="0" applyNumberFormat="0" applyFill="0" applyBorder="0" applyAlignment="0">
      <alignment horizontal="center" vertical="center"/>
    </xf>
    <xf numFmtId="49" fontId="22" fillId="0" borderId="5" applyProtection="0">
      <alignment vertical="center" wrapText="1"/>
    </xf>
    <xf numFmtId="0" fontId="75" fillId="0" borderId="0"/>
    <xf numFmtId="0" fontId="75" fillId="0" borderId="0" applyNumberFormat="0" applyFill="0" applyBorder="0" applyAlignment="0">
      <alignment horizontal="center" vertical="center"/>
    </xf>
    <xf numFmtId="181" fontId="5" fillId="0" borderId="5" applyProtection="0">
      <alignment horizontal="right" vertical="center" wrapText="1"/>
    </xf>
    <xf numFmtId="181" fontId="5" fillId="0" borderId="5" applyProtection="0">
      <alignment horizontal="right" vertical="center" wrapText="1"/>
    </xf>
    <xf numFmtId="0" fontId="75" fillId="0" borderId="0"/>
    <xf numFmtId="181" fontId="5" fillId="0" borderId="5" applyProtection="0">
      <alignment horizontal="right" vertical="center" wrapText="1"/>
    </xf>
    <xf numFmtId="181" fontId="5" fillId="0" borderId="5" applyProtection="0">
      <alignment horizontal="right" vertical="center" wrapText="1"/>
    </xf>
    <xf numFmtId="0" fontId="75" fillId="0" borderId="0"/>
    <xf numFmtId="181" fontId="5" fillId="0" borderId="5" applyProtection="0">
      <alignment horizontal="right" vertical="center" wrapText="1"/>
    </xf>
    <xf numFmtId="181" fontId="5" fillId="0" borderId="5" applyProtection="0">
      <alignment horizontal="right" vertical="center" wrapText="1"/>
    </xf>
    <xf numFmtId="0" fontId="75" fillId="0" borderId="0" applyNumberFormat="0" applyFill="0" applyBorder="0" applyAlignment="0">
      <alignment horizontal="center" vertical="center"/>
    </xf>
    <xf numFmtId="0" fontId="75" fillId="0" borderId="0"/>
    <xf numFmtId="181" fontId="5" fillId="0" borderId="5" applyProtection="0">
      <alignment horizontal="right" vertical="center" wrapText="1"/>
    </xf>
    <xf numFmtId="181" fontId="5" fillId="0" borderId="5" applyProtection="0">
      <alignment horizontal="right" vertical="center" wrapText="1"/>
    </xf>
    <xf numFmtId="0" fontId="75" fillId="0" borderId="0" applyNumberFormat="0" applyFill="0" applyBorder="0" applyAlignment="0">
      <alignment horizontal="center" vertical="center"/>
    </xf>
    <xf numFmtId="181" fontId="5" fillId="0" borderId="5">
      <alignment horizontal="right" vertical="center" wrapText="1"/>
    </xf>
    <xf numFmtId="181" fontId="5" fillId="0" borderId="5">
      <alignment horizontal="right" vertical="center" wrapText="1"/>
    </xf>
    <xf numFmtId="0" fontId="75" fillId="0" borderId="0" applyNumberFormat="0" applyFill="0" applyBorder="0" applyAlignment="0">
      <alignment horizontal="center" vertical="center"/>
    </xf>
    <xf numFmtId="181" fontId="5" fillId="0" borderId="5">
      <alignment horizontal="right" vertical="center" wrapText="1"/>
    </xf>
    <xf numFmtId="181" fontId="5" fillId="0" borderId="5">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vertical="center"/>
    </xf>
    <xf numFmtId="181" fontId="5" fillId="0" borderId="5" applyProtection="0">
      <alignment horizontal="right" vertical="center" wrapText="1"/>
    </xf>
    <xf numFmtId="181" fontId="5" fillId="0" borderId="5" applyProtection="0">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vertical="center"/>
    </xf>
    <xf numFmtId="181" fontId="5" fillId="0" borderId="5">
      <alignment horizontal="right" vertical="center" wrapText="1"/>
    </xf>
    <xf numFmtId="181" fontId="5" fillId="0" borderId="5">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vertical="center"/>
    </xf>
    <xf numFmtId="181" fontId="5" fillId="0" borderId="5">
      <alignment horizontal="right" vertical="center" wrapText="1"/>
    </xf>
    <xf numFmtId="181" fontId="5" fillId="0" borderId="5">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0" fontId="75" fillId="0" borderId="0">
      <alignment vertical="center"/>
    </xf>
    <xf numFmtId="178" fontId="5" fillId="0" borderId="5" applyProtection="0">
      <alignment horizontal="right" vertical="center" wrapText="1"/>
    </xf>
    <xf numFmtId="178" fontId="5" fillId="0" borderId="5" applyProtection="0">
      <alignment horizontal="right" vertical="center" wrapText="1"/>
    </xf>
    <xf numFmtId="0" fontId="75" fillId="0" borderId="0"/>
    <xf numFmtId="0" fontId="75" fillId="0" borderId="0"/>
    <xf numFmtId="0" fontId="75" fillId="0" borderId="0"/>
    <xf numFmtId="0" fontId="75" fillId="0" borderId="0"/>
    <xf numFmtId="0" fontId="75" fillId="0" borderId="0"/>
    <xf numFmtId="49" fontId="5" fillId="0" borderId="5">
      <alignment vertical="center" wrapText="1"/>
    </xf>
    <xf numFmtId="49" fontId="5" fillId="0" borderId="5">
      <alignment vertical="center" wrapText="1"/>
    </xf>
    <xf numFmtId="0" fontId="75" fillId="0" borderId="0"/>
    <xf numFmtId="0" fontId="75" fillId="0" borderId="0"/>
    <xf numFmtId="0" fontId="75" fillId="0" borderId="0"/>
    <xf numFmtId="0" fontId="75" fillId="0" borderId="0"/>
    <xf numFmtId="0" fontId="75" fillId="0" borderId="0" applyNumberFormat="0" applyFill="0" applyBorder="0" applyAlignment="0">
      <alignment horizontal="center"/>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xf>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0" fontId="75" fillId="0" borderId="0" applyNumberFormat="0" applyFill="0" applyBorder="0" applyAlignment="0">
      <alignment horizontal="center"/>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1" fontId="5" fillId="0" borderId="5" applyProtection="0">
      <alignment horizontal="righ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vertical="center"/>
    </xf>
    <xf numFmtId="49" fontId="5" fillId="0" borderId="5">
      <alignment vertical="center" wrapText="1"/>
    </xf>
    <xf numFmtId="49" fontId="5" fillId="0" borderId="5">
      <alignmen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75" fillId="0" borderId="0" applyNumberFormat="0" applyFill="0" applyBorder="0" applyAlignment="0">
      <alignment horizontal="center" vertical="center"/>
    </xf>
    <xf numFmtId="0" fontId="75" fillId="0" borderId="0" applyNumberFormat="0" applyFill="0" applyBorder="0" applyAlignment="0">
      <alignment horizontal="center" vertical="center"/>
    </xf>
    <xf numFmtId="49" fontId="5" fillId="0" borderId="5">
      <alignment vertical="center" wrapText="1"/>
    </xf>
    <xf numFmtId="49" fontId="5" fillId="0" borderId="5">
      <alignmen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75" fillId="0" borderId="0" applyNumberFormat="0" applyFill="0" applyBorder="0" applyAlignment="0">
      <alignment horizontal="center" vertical="center"/>
    </xf>
    <xf numFmtId="181" fontId="5" fillId="0" borderId="5" applyProtection="0">
      <alignment horizontal="right" vertical="center" wrapText="1"/>
    </xf>
    <xf numFmtId="0" fontId="43" fillId="7" borderId="3">
      <protection locked="0"/>
    </xf>
    <xf numFmtId="178" fontId="5" fillId="0" borderId="5">
      <alignment horizontal="right" vertical="center" wrapText="1"/>
    </xf>
    <xf numFmtId="178"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0" fontId="43" fillId="7" borderId="3">
      <protection locked="0"/>
    </xf>
    <xf numFmtId="0" fontId="43" fillId="7" borderId="3">
      <protection locked="0"/>
    </xf>
    <xf numFmtId="181" fontId="5" fillId="0" borderId="5">
      <alignment horizontal="right" vertical="center" wrapText="1"/>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84" fillId="14" borderId="37" applyProtection="0">
      <alignment vertical="center"/>
    </xf>
    <xf numFmtId="0" fontId="43" fillId="7" borderId="3">
      <alignment vertical="center"/>
      <protection locked="0"/>
    </xf>
    <xf numFmtId="181" fontId="22" fillId="0" borderId="5">
      <alignment horizontal="right" vertical="center" wrapText="1"/>
    </xf>
    <xf numFmtId="181" fontId="22" fillId="0" borderId="5">
      <alignment horizontal="right" vertical="center" wrapText="1"/>
    </xf>
    <xf numFmtId="0" fontId="43" fillId="7" borderId="3">
      <alignment vertical="center"/>
      <protection locked="0"/>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0" fontId="43" fillId="7" borderId="3">
      <alignment vertical="center"/>
      <protection locked="0"/>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5" fillId="0" borderId="5" applyProtection="0">
      <alignment horizontal="center" vertical="center" wrapText="1"/>
    </xf>
    <xf numFmtId="0" fontId="43" fillId="7" borderId="3">
      <alignment vertical="center"/>
      <protection locked="0"/>
    </xf>
    <xf numFmtId="181" fontId="22" fillId="0" borderId="5">
      <alignment horizontal="right" vertical="center" wrapText="1"/>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5" fillId="0" borderId="5" applyProtection="0">
      <alignment horizontal="center"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181" fontId="22" fillId="0" borderId="5">
      <alignment horizontal="right" vertical="center" wrapText="1"/>
    </xf>
    <xf numFmtId="49" fontId="5" fillId="0" borderId="5">
      <alignment vertical="center" wrapText="1"/>
    </xf>
    <xf numFmtId="49" fontId="5" fillId="0" borderId="5">
      <alignment vertical="center" wrapText="1"/>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5" fillId="0" borderId="5" applyProtection="0">
      <alignment horizontal="center"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43" fillId="7" borderId="3">
      <alignment vertical="center"/>
      <protection locked="0"/>
    </xf>
    <xf numFmtId="181" fontId="22"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181" fontId="22" fillId="0" borderId="5">
      <alignment horizontal="right" vertical="center" wrapText="1"/>
    </xf>
    <xf numFmtId="0" fontId="43" fillId="7" borderId="3">
      <alignment vertical="center"/>
      <protection locked="0"/>
    </xf>
    <xf numFmtId="0" fontId="43" fillId="7" borderId="3">
      <alignment vertical="center"/>
      <protection locked="0"/>
    </xf>
    <xf numFmtId="181" fontId="22" fillId="0" borderId="5">
      <alignment horizontal="right" vertical="center" wrapText="1"/>
    </xf>
    <xf numFmtId="0" fontId="43" fillId="7" borderId="3">
      <alignment vertical="center"/>
      <protection locked="0"/>
    </xf>
    <xf numFmtId="0" fontId="43" fillId="7" borderId="3">
      <alignment vertical="center"/>
      <protection locked="0"/>
    </xf>
    <xf numFmtId="181" fontId="22" fillId="0" borderId="5">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vertical="center" wrapText="1"/>
    </xf>
    <xf numFmtId="0" fontId="43" fillId="7" borderId="3">
      <alignment vertical="center"/>
      <protection locked="0"/>
    </xf>
    <xf numFmtId="0" fontId="43" fillId="7" borderId="3">
      <protection locked="0"/>
    </xf>
    <xf numFmtId="49" fontId="5" fillId="0" borderId="5" applyProtection="0">
      <alignment horizontal="center" vertical="center" wrapText="1"/>
    </xf>
    <xf numFmtId="0" fontId="84" fillId="14" borderId="37" applyNumberFormat="0" applyAlignment="0" applyProtection="0">
      <alignment vertical="center"/>
    </xf>
    <xf numFmtId="0" fontId="43" fillId="7" borderId="3">
      <alignment vertical="center"/>
      <protection locked="0"/>
    </xf>
    <xf numFmtId="181" fontId="22" fillId="0" borderId="5">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alignment vertical="center"/>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181" fontId="5" fillId="0" borderId="5">
      <alignment horizontal="right" vertical="center" wrapText="1"/>
    </xf>
    <xf numFmtId="181" fontId="5" fillId="0" borderId="5">
      <alignment horizontal="right" vertical="center" wrapText="1"/>
    </xf>
    <xf numFmtId="0" fontId="43" fillId="7" borderId="3">
      <alignment vertical="center"/>
      <protection locked="0"/>
    </xf>
    <xf numFmtId="181" fontId="5" fillId="0" borderId="5">
      <alignment horizontal="right" vertical="center" wrapText="1"/>
    </xf>
    <xf numFmtId="181" fontId="5" fillId="0" borderId="5">
      <alignment horizontal="righ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92" fillId="0" borderId="0"/>
    <xf numFmtId="40" fontId="35" fillId="0" borderId="0" applyBorder="0">
      <alignment horizontal="right"/>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lignment horizontal="right"/>
    </xf>
    <xf numFmtId="40" fontId="35" fillId="0" borderId="0" applyBorder="0">
      <alignment horizontal="right" vertical="center"/>
    </xf>
    <xf numFmtId="40" fontId="35" fillId="0" borderId="0">
      <alignment horizontal="right"/>
    </xf>
    <xf numFmtId="40" fontId="35" fillId="0" borderId="0">
      <alignment horizontal="right"/>
    </xf>
    <xf numFmtId="40" fontId="35" fillId="0" borderId="0" applyBorder="0">
      <alignment horizontal="right" vertical="center"/>
    </xf>
    <xf numFmtId="40" fontId="35" fillId="0" borderId="0">
      <alignment horizontal="right"/>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xf>
    <xf numFmtId="40" fontId="35" fillId="0" borderId="0" applyBorder="0">
      <alignment horizontal="right" vertical="center"/>
    </xf>
    <xf numFmtId="40" fontId="35" fillId="0" borderId="0" applyBorder="0">
      <alignment horizontal="right"/>
    </xf>
    <xf numFmtId="40" fontId="35" fillId="0" borderId="0" applyBorder="0">
      <alignment horizontal="right" vertical="center"/>
    </xf>
    <xf numFmtId="40" fontId="35" fillId="0" borderId="0" applyBorder="0">
      <alignment horizontal="right"/>
    </xf>
    <xf numFmtId="40" fontId="35" fillId="0" borderId="0">
      <alignment horizontal="right" vertical="center"/>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pplyBorder="0">
      <alignment horizontal="right"/>
    </xf>
    <xf numFmtId="40" fontId="35" fillId="0" borderId="0" applyBorder="0">
      <alignment horizontal="right"/>
    </xf>
    <xf numFmtId="40" fontId="35" fillId="0" borderId="0" applyBorder="0">
      <alignment horizontal="right"/>
    </xf>
    <xf numFmtId="40" fontId="35" fillId="0" borderId="0" applyBorder="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lignment horizontal="right"/>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178" fontId="5" fillId="0" borderId="5" applyProtection="0">
      <alignment horizontal="right" vertical="center" wrapText="1"/>
    </xf>
    <xf numFmtId="178" fontId="5" fillId="0" borderId="5" applyProtection="0">
      <alignment horizontal="right" vertical="center" wrapText="1"/>
    </xf>
    <xf numFmtId="40" fontId="35" fillId="0" borderId="0" applyBorder="0">
      <alignment horizontal="right" vertical="center"/>
    </xf>
    <xf numFmtId="40" fontId="35" fillId="0" borderId="0" applyBorder="0">
      <alignment horizontal="right" vertical="center"/>
    </xf>
    <xf numFmtId="40" fontId="35" fillId="0" borderId="0" applyBorder="0">
      <alignment horizontal="right" vertical="center"/>
    </xf>
    <xf numFmtId="0" fontId="43" fillId="7" borderId="3">
      <protection locked="0"/>
    </xf>
    <xf numFmtId="49" fontId="22" fillId="0" borderId="5">
      <alignment horizontal="center" vertical="center" wrapText="1"/>
    </xf>
    <xf numFmtId="49" fontId="22" fillId="0" borderId="5">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22" fillId="0" borderId="5">
      <alignment horizontal="center" vertical="center" wrapText="1"/>
    </xf>
    <xf numFmtId="0" fontId="43" fillId="7" borderId="3">
      <alignment vertical="center"/>
      <protection locked="0"/>
    </xf>
    <xf numFmtId="49" fontId="22" fillId="0" borderId="5">
      <alignment horizontal="center" vertical="center" wrapText="1"/>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43" fillId="7" borderId="3">
      <protection locked="0"/>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43" fillId="7" borderId="3">
      <protection locked="0"/>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0" fontId="43" fillId="7" borderId="3">
      <alignment vertical="center"/>
      <protection locked="0"/>
    </xf>
    <xf numFmtId="178"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181" fontId="22" fillId="0" borderId="5">
      <alignment horizontal="right" vertical="center" wrapText="1"/>
    </xf>
    <xf numFmtId="181" fontId="22" fillId="0" borderId="5">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22" fillId="0" borderId="28">
      <alignment horizontal="right" vertical="center" wrapText="1"/>
    </xf>
    <xf numFmtId="0" fontId="43" fillId="7" borderId="3">
      <alignment vertical="center"/>
      <protection locked="0"/>
    </xf>
    <xf numFmtId="181" fontId="22" fillId="0" borderId="28">
      <alignment horizontal="right" vertical="center" wrapText="1"/>
    </xf>
    <xf numFmtId="0" fontId="43" fillId="7" borderId="3">
      <alignment vertical="center"/>
      <protection locked="0"/>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lignment horizontal="center" vertical="center" wrapText="1"/>
    </xf>
    <xf numFmtId="0" fontId="43" fillId="7" borderId="3">
      <alignment vertical="center"/>
      <protection locked="0"/>
    </xf>
    <xf numFmtId="0" fontId="43" fillId="7" borderId="3">
      <alignment vertical="center"/>
      <protection locked="0"/>
    </xf>
    <xf numFmtId="0" fontId="43" fillId="7" borderId="3">
      <protection locked="0"/>
    </xf>
    <xf numFmtId="178" fontId="22" fillId="0" borderId="5" applyProtection="0">
      <alignment horizontal="right"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78"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181" fontId="22" fillId="0" borderId="5">
      <alignment horizontal="right" vertical="center" wrapText="1"/>
    </xf>
    <xf numFmtId="0" fontId="43" fillId="7" borderId="3">
      <alignment vertical="center"/>
      <protection locked="0"/>
    </xf>
    <xf numFmtId="178" fontId="22" fillId="0" borderId="5" applyProtection="0">
      <alignment horizontal="right" vertical="center" wrapText="1"/>
    </xf>
    <xf numFmtId="0" fontId="43" fillId="7" borderId="3">
      <alignment vertical="center"/>
      <protection locked="0"/>
    </xf>
    <xf numFmtId="178" fontId="22" fillId="0" borderId="5" applyProtection="0">
      <alignment horizontal="right" vertical="center" wrapText="1"/>
    </xf>
    <xf numFmtId="0" fontId="43" fillId="7" borderId="3">
      <alignment vertical="center"/>
      <protection locked="0"/>
    </xf>
    <xf numFmtId="178"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0" fontId="43" fillId="7" borderId="3">
      <alignment vertical="center"/>
      <protection locked="0"/>
    </xf>
    <xf numFmtId="181" fontId="5" fillId="0" borderId="5" applyProtection="0">
      <alignment horizontal="right" vertical="center" wrapText="1"/>
    </xf>
    <xf numFmtId="0" fontId="43" fillId="7" borderId="3">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alignment vertical="center"/>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22" fillId="0" borderId="5">
      <alignment horizontal="center" vertical="center" wrapText="1"/>
    </xf>
    <xf numFmtId="49" fontId="22" fillId="0" borderId="5">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178" fontId="5" fillId="0" borderId="5" applyProtection="0">
      <alignment horizontal="right" vertical="center" wrapText="1"/>
    </xf>
    <xf numFmtId="0" fontId="43" fillId="7" borderId="3">
      <alignment vertical="center"/>
      <protection locked="0"/>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0" fontId="22" fillId="0" borderId="0"/>
    <xf numFmtId="0" fontId="22" fillId="0" borderId="0"/>
    <xf numFmtId="0" fontId="43" fillId="7" borderId="3">
      <alignment vertical="center"/>
      <protection locked="0"/>
    </xf>
    <xf numFmtId="49" fontId="22" fillId="0" borderId="5">
      <alignment vertical="center" wrapText="1"/>
    </xf>
    <xf numFmtId="49" fontId="22" fillId="0" borderId="5">
      <alignment vertical="center" wrapText="1"/>
    </xf>
    <xf numFmtId="0" fontId="22" fillId="0" borderId="0"/>
    <xf numFmtId="0" fontId="22" fillId="0" borderId="0"/>
    <xf numFmtId="0" fontId="43" fillId="7" borderId="3">
      <alignment vertical="center"/>
      <protection locked="0"/>
    </xf>
    <xf numFmtId="49" fontId="22" fillId="0" borderId="5">
      <alignment vertical="center" wrapText="1"/>
    </xf>
    <xf numFmtId="49" fontId="22" fillId="0" borderId="5">
      <alignment vertical="center" wrapText="1"/>
    </xf>
    <xf numFmtId="0" fontId="43" fillId="7" borderId="3">
      <alignment vertical="center"/>
      <protection locked="0"/>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alignment vertical="center"/>
      <protection locked="0"/>
    </xf>
    <xf numFmtId="49" fontId="5" fillId="0" borderId="5" applyProtection="0">
      <alignment horizontal="center" vertical="center" wrapText="1"/>
    </xf>
    <xf numFmtId="49" fontId="5"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49" fontId="5" fillId="0" borderId="5" applyProtection="0">
      <alignment horizontal="center" vertical="center" wrapText="1"/>
    </xf>
    <xf numFmtId="0" fontId="43" fillId="7" borderId="3">
      <protection locked="0"/>
    </xf>
    <xf numFmtId="0" fontId="43" fillId="7" borderId="3">
      <protection locked="0"/>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43" fillId="7" borderId="3">
      <protection locked="0"/>
    </xf>
    <xf numFmtId="0" fontId="43" fillId="7" borderId="3">
      <protection locked="0"/>
    </xf>
    <xf numFmtId="49" fontId="5" fillId="0" borderId="5">
      <alignment vertical="center" wrapText="1"/>
    </xf>
    <xf numFmtId="49" fontId="5" fillId="0" borderId="5">
      <alignment vertical="center" wrapText="1"/>
    </xf>
    <xf numFmtId="0" fontId="43" fillId="7" borderId="3">
      <protection locked="0"/>
    </xf>
    <xf numFmtId="0" fontId="43" fillId="7" borderId="3">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protection locked="0"/>
    </xf>
    <xf numFmtId="181" fontId="5" fillId="0" borderId="5" applyProtection="0">
      <alignment horizontal="right" vertical="center" wrapText="1"/>
    </xf>
    <xf numFmtId="181" fontId="5"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5" fillId="0" borderId="5" applyProtection="0">
      <alignment horizontal="right" vertical="center" wrapText="1"/>
    </xf>
    <xf numFmtId="0" fontId="43" fillId="7" borderId="3">
      <alignment vertical="center"/>
      <protection locked="0"/>
    </xf>
    <xf numFmtId="178" fontId="5" fillId="0" borderId="5">
      <alignment horizontal="right" vertical="center" wrapText="1"/>
    </xf>
    <xf numFmtId="49" fontId="22" fillId="0" borderId="5" applyProtection="0">
      <alignment horizontal="center" vertical="center" wrapText="1"/>
    </xf>
    <xf numFmtId="0" fontId="43" fillId="7" borderId="3">
      <alignment vertical="center"/>
      <protection locked="0"/>
    </xf>
    <xf numFmtId="178" fontId="5" fillId="0" borderId="5">
      <alignment horizontal="right" vertical="center" wrapText="1"/>
    </xf>
    <xf numFmtId="0" fontId="43" fillId="7" borderId="3">
      <alignment vertical="center"/>
      <protection locked="0"/>
    </xf>
    <xf numFmtId="181" fontId="5" fillId="0" borderId="5" applyProtection="0">
      <alignment horizontal="right" vertical="center" wrapText="1"/>
    </xf>
    <xf numFmtId="0" fontId="43" fillId="7" borderId="3">
      <alignment vertical="center"/>
      <protection locked="0"/>
    </xf>
    <xf numFmtId="178" fontId="5" fillId="0" borderId="5">
      <alignment horizontal="right" vertical="center" wrapText="1"/>
    </xf>
    <xf numFmtId="0" fontId="43" fillId="7" borderId="3">
      <alignment vertical="center"/>
      <protection locked="0"/>
    </xf>
    <xf numFmtId="178" fontId="5" fillId="0" borderId="5">
      <alignment horizontal="right" vertical="center" wrapText="1"/>
    </xf>
    <xf numFmtId="0" fontId="43" fillId="7" borderId="3">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181" fontId="22" fillId="0" borderId="5" applyProtection="0">
      <alignment horizontal="right" vertical="center" wrapText="1"/>
    </xf>
    <xf numFmtId="181"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178" fontId="5" fillId="0" borderId="5">
      <alignment horizontal="right" vertical="center" wrapText="1"/>
    </xf>
    <xf numFmtId="0" fontId="43" fillId="7" borderId="3">
      <alignment vertical="center"/>
      <protection locked="0"/>
    </xf>
    <xf numFmtId="178" fontId="5" fillId="0" borderId="5">
      <alignment horizontal="right" vertical="center" wrapText="1"/>
    </xf>
    <xf numFmtId="0" fontId="43" fillId="7" borderId="3">
      <alignment vertical="center"/>
      <protection locked="0"/>
    </xf>
    <xf numFmtId="49" fontId="5" fillId="0" borderId="5">
      <alignment vertical="center" wrapText="1"/>
    </xf>
    <xf numFmtId="49" fontId="5" fillId="0" borderId="5">
      <alignment vertical="center" wrapText="1"/>
    </xf>
    <xf numFmtId="0" fontId="43" fillId="7" borderId="3">
      <alignment vertical="center"/>
      <protection locked="0"/>
    </xf>
    <xf numFmtId="178" fontId="5" fillId="0" borderId="5">
      <alignment horizontal="right" vertical="center" wrapText="1"/>
    </xf>
    <xf numFmtId="0" fontId="43" fillId="7" borderId="3">
      <alignment vertical="center"/>
      <protection locked="0"/>
    </xf>
    <xf numFmtId="178" fontId="5" fillId="0" borderId="5">
      <alignment horizontal="righ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178" fontId="22" fillId="0" borderId="5" applyProtection="0">
      <alignment horizontal="right" vertical="center" wrapText="1"/>
    </xf>
    <xf numFmtId="178" fontId="22" fillId="0" borderId="5" applyProtection="0">
      <alignment horizontal="right" vertical="center" wrapText="1"/>
    </xf>
    <xf numFmtId="0" fontId="43" fillId="7" borderId="3">
      <alignment vertical="center"/>
      <protection locked="0"/>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178" fontId="22" fillId="0" borderId="5" applyProtection="0">
      <alignment horizontal="right" vertical="center" wrapText="1"/>
    </xf>
    <xf numFmtId="178" fontId="22" fillId="0" borderId="5" applyProtection="0">
      <alignment horizontal="right" vertical="center" wrapText="1"/>
    </xf>
    <xf numFmtId="0" fontId="43" fillId="7" borderId="3">
      <alignment vertical="center"/>
      <protection locked="0"/>
    </xf>
    <xf numFmtId="0" fontId="43" fillId="7" borderId="3">
      <protection locked="0"/>
    </xf>
    <xf numFmtId="0" fontId="43" fillId="7" borderId="3">
      <protection locked="0"/>
    </xf>
    <xf numFmtId="49" fontId="5" fillId="0" borderId="5" applyProtection="0">
      <alignment vertical="center" wrapText="1"/>
    </xf>
    <xf numFmtId="49" fontId="5" fillId="0" borderId="5" applyProtection="0">
      <alignment vertical="center" wrapText="1"/>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protection locked="0"/>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5" fillId="0" borderId="5" applyProtection="0">
      <alignment horizontal="center" vertical="center" wrapText="1"/>
    </xf>
    <xf numFmtId="49" fontId="5"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0" fontId="43" fillId="7" borderId="3">
      <alignment vertical="center"/>
      <protection locked="0"/>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0" fontId="43" fillId="7" borderId="3">
      <alignment vertical="center"/>
      <protection locked="0"/>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0" fontId="43" fillId="7" borderId="3">
      <alignment vertical="center"/>
      <protection locked="0"/>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0" fontId="43" fillId="7" borderId="3">
      <alignment vertical="center"/>
      <protection locked="0"/>
    </xf>
    <xf numFmtId="9" fontId="22" fillId="0" borderId="0"/>
    <xf numFmtId="0" fontId="43" fillId="7" borderId="3">
      <alignment vertical="center"/>
      <protection locked="0"/>
    </xf>
    <xf numFmtId="49" fontId="5" fillId="0" borderId="5" applyProtection="0">
      <alignment horizontal="center" vertical="center" wrapText="1"/>
    </xf>
    <xf numFmtId="49" fontId="5" fillId="0" borderId="5" applyProtection="0">
      <alignment horizontal="center" vertical="center" wrapText="1"/>
    </xf>
    <xf numFmtId="0" fontId="43" fillId="7" borderId="3">
      <alignment vertical="center"/>
      <protection locked="0"/>
    </xf>
    <xf numFmtId="9" fontId="22" fillId="0" borderId="0"/>
    <xf numFmtId="0" fontId="43" fillId="7" borderId="3">
      <alignment vertical="center"/>
      <protection locked="0"/>
    </xf>
    <xf numFmtId="9" fontId="22" fillId="0" borderId="0"/>
    <xf numFmtId="0" fontId="43" fillId="7" borderId="3">
      <alignment vertical="center"/>
      <protection locked="0"/>
    </xf>
    <xf numFmtId="9" fontId="22" fillId="0" borderId="0"/>
    <xf numFmtId="0" fontId="43" fillId="7" borderId="3">
      <alignment vertical="center"/>
      <protection locked="0"/>
    </xf>
    <xf numFmtId="49" fontId="5" fillId="0" borderId="5">
      <alignment horizontal="center" vertical="center" wrapText="1"/>
    </xf>
    <xf numFmtId="0" fontId="43" fillId="7" borderId="3">
      <alignment vertical="center"/>
      <protection locked="0"/>
    </xf>
    <xf numFmtId="49" fontId="5" fillId="0" borderId="5">
      <alignment horizontal="center" vertical="center" wrapText="1"/>
    </xf>
    <xf numFmtId="0" fontId="43" fillId="7" borderId="3">
      <alignment vertical="center"/>
      <protection locked="0"/>
    </xf>
    <xf numFmtId="49" fontId="5" fillId="0" borderId="5">
      <alignment horizontal="center" vertical="center" wrapText="1"/>
    </xf>
    <xf numFmtId="0" fontId="43" fillId="7" borderId="3">
      <alignment vertical="center"/>
      <protection locked="0"/>
    </xf>
    <xf numFmtId="49" fontId="5" fillId="0" borderId="5">
      <alignment horizontal="center"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0" fontId="43" fillId="7" borderId="3">
      <alignment vertical="center"/>
      <protection locked="0"/>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49" fontId="5" fillId="0" borderId="5" applyProtection="0">
      <alignment vertical="center" wrapText="1"/>
    </xf>
    <xf numFmtId="49" fontId="5" fillId="0" borderId="5" applyProtection="0">
      <alignment vertical="center" wrapText="1"/>
    </xf>
    <xf numFmtId="0" fontId="43" fillId="7" borderId="3">
      <alignment vertical="center"/>
      <protection locked="0"/>
    </xf>
    <xf numFmtId="0" fontId="43" fillId="7" borderId="3">
      <alignment vertical="center"/>
      <protection locked="0"/>
    </xf>
    <xf numFmtId="9" fontId="22" fillId="0" borderId="0" applyFont="0" applyFill="0" applyBorder="0" applyAlignment="0" applyProtection="0"/>
    <xf numFmtId="9" fontId="22" fillId="0" borderId="0" applyFont="0" applyFill="0" applyBorder="0" applyAlignment="0" applyProtection="0">
      <alignment vertical="center"/>
    </xf>
    <xf numFmtId="181" fontId="22" fillId="0" borderId="5" applyProtection="0">
      <alignment horizontal="right" vertical="center" wrapText="1"/>
    </xf>
    <xf numFmtId="9" fontId="22" fillId="0" borderId="0"/>
    <xf numFmtId="181" fontId="22" fillId="0" borderId="5" applyProtection="0">
      <alignment horizontal="right" vertical="center" wrapText="1"/>
    </xf>
    <xf numFmtId="9" fontId="22" fillId="0" borderId="0" applyFont="0" applyFill="0" applyBorder="0" applyAlignment="0" applyProtection="0">
      <alignment vertical="center"/>
    </xf>
    <xf numFmtId="181" fontId="22" fillId="0" borderId="5" applyProtection="0">
      <alignment horizontal="right" vertical="center" wrapText="1"/>
    </xf>
    <xf numFmtId="9" fontId="22" fillId="0" borderId="0"/>
    <xf numFmtId="181" fontId="22" fillId="0" borderId="5" applyProtection="0">
      <alignment horizontal="right" vertical="center" wrapText="1"/>
    </xf>
    <xf numFmtId="9" fontId="22" fillId="0" borderId="0"/>
    <xf numFmtId="181" fontId="22" fillId="0" borderId="5" applyProtection="0">
      <alignment horizontal="right" vertical="center" wrapText="1"/>
    </xf>
    <xf numFmtId="9" fontId="22" fillId="0" borderId="0" applyFont="0" applyFill="0" applyBorder="0" applyAlignment="0" applyProtection="0">
      <alignment vertical="center"/>
    </xf>
    <xf numFmtId="9" fontId="22" fillId="0" borderId="0"/>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applyFont="0" applyFill="0" applyBorder="0" applyAlignment="0" applyProtection="0"/>
    <xf numFmtId="9" fontId="24" fillId="0" borderId="0">
      <alignment vertical="center"/>
    </xf>
    <xf numFmtId="9" fontId="22" fillId="0" borderId="0"/>
    <xf numFmtId="49" fontId="22" fillId="0" borderId="5">
      <alignment horizontal="center" vertical="center" wrapText="1"/>
    </xf>
    <xf numFmtId="9" fontId="22" fillId="0" borderId="0"/>
    <xf numFmtId="9" fontId="22" fillId="0" borderId="0"/>
    <xf numFmtId="9" fontId="22" fillId="0" borderId="0"/>
    <xf numFmtId="9" fontId="22" fillId="0" borderId="0"/>
    <xf numFmtId="9" fontId="22" fillId="0" borderId="0"/>
    <xf numFmtId="9"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alignment vertical="center"/>
    </xf>
    <xf numFmtId="9" fontId="22" fillId="0" borderId="0"/>
    <xf numFmtId="9" fontId="22" fillId="0" borderId="0"/>
    <xf numFmtId="9" fontId="22" fillId="0" borderId="0" applyFont="0" applyFill="0" applyBorder="0" applyAlignment="0" applyProtection="0">
      <alignment vertical="center"/>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9" fillId="0" borderId="0"/>
    <xf numFmtId="0" fontId="22" fillId="0" borderId="0">
      <alignment vertical="center"/>
    </xf>
    <xf numFmtId="9" fontId="22"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9" fontId="22" fillId="0" borderId="0" applyFont="0" applyFill="0" applyBorder="0" applyAlignment="0"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2" fillId="0" borderId="0"/>
    <xf numFmtId="9" fontId="22" fillId="0" borderId="0"/>
    <xf numFmtId="49" fontId="22" fillId="0" borderId="5">
      <alignment horizontal="center" vertical="center" wrapText="1"/>
    </xf>
    <xf numFmtId="9" fontId="22" fillId="0" borderId="0"/>
    <xf numFmtId="9" fontId="22" fillId="0" borderId="0"/>
    <xf numFmtId="49" fontId="5" fillId="0" borderId="5" applyProtection="0">
      <alignment horizontal="center" vertical="center" wrapText="1"/>
    </xf>
    <xf numFmtId="49" fontId="5" fillId="0" borderId="5" applyProtection="0">
      <alignment horizontal="center" vertical="center" wrapText="1"/>
    </xf>
    <xf numFmtId="9" fontId="22" fillId="0" borderId="0"/>
    <xf numFmtId="9" fontId="22" fillId="0" borderId="0"/>
    <xf numFmtId="9" fontId="22" fillId="0" borderId="0"/>
    <xf numFmtId="9" fontId="22" fillId="0" borderId="0"/>
    <xf numFmtId="9" fontId="22" fillId="0" borderId="0"/>
    <xf numFmtId="9" fontId="22" fillId="0" borderId="0"/>
    <xf numFmtId="9" fontId="24" fillId="0" borderId="0" applyFont="0" applyFill="0" applyBorder="0" applyAlignment="0" applyProtection="0">
      <alignment vertical="center"/>
    </xf>
    <xf numFmtId="9" fontId="22" fillId="0" borderId="0"/>
    <xf numFmtId="9" fontId="24" fillId="0" borderId="0" applyFont="0" applyFill="0" applyBorder="0" applyAlignment="0" applyProtection="0">
      <alignment vertical="center"/>
    </xf>
    <xf numFmtId="9" fontId="22" fillId="0" borderId="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2" fillId="0" borderId="0" applyFont="0" applyFill="0" applyBorder="0" applyAlignment="0" applyProtection="0">
      <alignment vertical="center"/>
    </xf>
    <xf numFmtId="9" fontId="24"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4" fillId="0" borderId="0" applyFont="0" applyFill="0" applyBorder="0" applyAlignment="0" applyProtection="0">
      <alignment vertical="center"/>
    </xf>
    <xf numFmtId="9" fontId="22"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2" fillId="0" borderId="0"/>
    <xf numFmtId="49" fontId="22" fillId="0" borderId="5">
      <alignment vertical="center" wrapText="1"/>
    </xf>
    <xf numFmtId="9" fontId="109" fillId="0" borderId="0" applyFont="0" applyFill="0" applyBorder="0" applyAlignment="0" applyProtection="0">
      <alignment vertical="center"/>
    </xf>
    <xf numFmtId="49" fontId="22" fillId="0" borderId="5">
      <alignment vertical="center" wrapText="1"/>
    </xf>
    <xf numFmtId="9" fontId="109" fillId="0" borderId="0" applyFont="0" applyFill="0" applyBorder="0" applyAlignment="0" applyProtection="0">
      <alignment vertical="center"/>
    </xf>
    <xf numFmtId="49" fontId="22" fillId="0" borderId="5">
      <alignment vertical="center" wrapText="1"/>
    </xf>
    <xf numFmtId="9" fontId="22" fillId="0" borderId="0"/>
    <xf numFmtId="9" fontId="22" fillId="0" borderId="0"/>
    <xf numFmtId="9" fontId="22" fillId="0" borderId="0"/>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xf numFmtId="178" fontId="5" fillId="0" borderId="5">
      <alignment horizontal="right" vertical="center" wrapText="1"/>
    </xf>
    <xf numFmtId="9" fontId="22" fillId="0" borderId="0" applyFont="0" applyFill="0" applyBorder="0" applyAlignment="0" applyProtection="0">
      <alignment vertical="center"/>
    </xf>
    <xf numFmtId="9" fontId="24"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178" fontId="22" fillId="0" borderId="5">
      <alignment horizontal="right" vertical="center" wrapText="1"/>
    </xf>
    <xf numFmtId="178" fontId="22" fillId="0" borderId="5">
      <alignment horizontal="right" vertical="center" wrapText="1"/>
    </xf>
    <xf numFmtId="9" fontId="22" fillId="0" borderId="0" applyFont="0" applyFill="0" applyBorder="0" applyAlignment="0" applyProtection="0">
      <alignment vertical="center"/>
    </xf>
    <xf numFmtId="9" fontId="22" fillId="0" borderId="0"/>
    <xf numFmtId="9" fontId="2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0" fontId="58" fillId="0" borderId="4" applyNumberFormat="0" applyFill="0" applyProtection="0">
      <alignment horizontal="center"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0" fontId="58" fillId="0" borderId="4" applyNumberFormat="0" applyFill="0" applyProtection="0">
      <alignment horizont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181" fontId="5" fillId="0" borderId="5">
      <alignment horizontal="right" vertical="center" wrapText="1"/>
    </xf>
    <xf numFmtId="181" fontId="5" fillId="0" borderId="5">
      <alignment horizontal="right" vertical="center" wrapText="1"/>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178" fontId="5" fillId="0" borderId="5" applyProtection="0">
      <alignment horizontal="right" vertical="center" wrapText="1"/>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178" fontId="5" fillId="0" borderId="5" applyProtection="0">
      <alignment horizontal="right" vertical="center" wrapText="1"/>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lignment vertical="center"/>
    </xf>
    <xf numFmtId="9" fontId="24" fillId="0" borderId="0" applyFont="0" applyFill="0" applyBorder="0" applyAlignment="0" applyProtection="0">
      <alignment vertical="center"/>
    </xf>
    <xf numFmtId="49" fontId="5" fillId="0" borderId="5" applyProtection="0">
      <alignment horizontal="center" vertical="center" wrapText="1"/>
    </xf>
    <xf numFmtId="9" fontId="24" fillId="0" borderId="0">
      <alignment vertical="center"/>
    </xf>
    <xf numFmtId="9" fontId="22" fillId="0" borderId="0"/>
    <xf numFmtId="9" fontId="22" fillId="0" borderId="0"/>
    <xf numFmtId="0" fontId="24" fillId="0" borderId="0">
      <alignment vertical="center"/>
    </xf>
    <xf numFmtId="0" fontId="24" fillId="0" borderId="0">
      <alignment vertical="center"/>
    </xf>
    <xf numFmtId="9" fontId="22" fillId="0" borderId="0"/>
    <xf numFmtId="0" fontId="79" fillId="0" borderId="0"/>
    <xf numFmtId="0" fontId="24" fillId="0" borderId="0">
      <alignment vertical="center"/>
    </xf>
    <xf numFmtId="9" fontId="22" fillId="0" borderId="0"/>
    <xf numFmtId="49" fontId="22" fillId="0" borderId="5" applyProtection="0">
      <alignment horizontal="center" vertical="center" wrapText="1"/>
    </xf>
    <xf numFmtId="0" fontId="24" fillId="0" borderId="0">
      <alignment vertical="center"/>
    </xf>
    <xf numFmtId="9" fontId="22" fillId="0" borderId="0"/>
    <xf numFmtId="49" fontId="22" fillId="0" borderId="5" applyProtection="0">
      <alignment horizontal="center" vertical="center" wrapText="1"/>
    </xf>
    <xf numFmtId="9" fontId="24" fillId="0" borderId="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4"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176" fontId="22" fillId="0" borderId="0" applyFont="0" applyFill="0" applyBorder="0" applyAlignment="0" applyProtection="0"/>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0" fontId="48" fillId="0" borderId="4" applyNumberFormat="0" applyFill="0" applyProtection="0">
      <alignment horizontal="right"/>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lignment horizontal="right"/>
    </xf>
    <xf numFmtId="0" fontId="48" fillId="0" borderId="4" applyNumberFormat="0" applyFill="0" applyProtection="0">
      <alignment horizontal="right" vertical="center"/>
    </xf>
    <xf numFmtId="0" fontId="48" fillId="0" borderId="4">
      <alignment horizontal="right"/>
    </xf>
    <xf numFmtId="0" fontId="48" fillId="0" borderId="4">
      <alignment horizontal="right"/>
    </xf>
    <xf numFmtId="0" fontId="48" fillId="0" borderId="4" applyNumberFormat="0" applyFill="0" applyProtection="0">
      <alignment horizontal="right" vertical="center"/>
    </xf>
    <xf numFmtId="178" fontId="22" fillId="0" borderId="5">
      <alignment horizontal="right" vertical="center" wrapText="1"/>
    </xf>
    <xf numFmtId="0" fontId="48" fillId="0" borderId="4" applyNumberFormat="0" applyFill="0" applyProtection="0">
      <alignment horizontal="right" vertical="center"/>
    </xf>
    <xf numFmtId="178" fontId="22" fillId="0" borderId="5">
      <alignment horizontal="right" vertical="center" wrapText="1"/>
    </xf>
    <xf numFmtId="0" fontId="48" fillId="0" borderId="4" applyNumberFormat="0" applyFill="0" applyProtection="0">
      <alignment horizontal="right" vertical="center"/>
    </xf>
    <xf numFmtId="0" fontId="48" fillId="0" borderId="4" applyNumberFormat="0" applyFill="0" applyProtection="0">
      <alignment horizontal="right" vertical="center"/>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0" fontId="48" fillId="0" borderId="4" applyNumberFormat="0" applyFill="0" applyProtection="0">
      <alignment horizontal="right" vertical="center"/>
    </xf>
    <xf numFmtId="0" fontId="48" fillId="0" borderId="4" applyNumberFormat="0" applyFill="0" applyProtection="0">
      <alignment horizontal="right" vertical="center"/>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0" fontId="48" fillId="0" borderId="4" applyNumberFormat="0" applyFill="0" applyProtection="0">
      <alignment horizontal="right" vertical="center"/>
    </xf>
    <xf numFmtId="0" fontId="48" fillId="0" borderId="4" applyNumberFormat="0" applyFill="0" applyProtection="0">
      <alignment horizontal="right"/>
    </xf>
    <xf numFmtId="178" fontId="22" fillId="0" borderId="5">
      <alignment horizontal="right" vertical="center" wrapText="1"/>
    </xf>
    <xf numFmtId="0" fontId="48" fillId="0" borderId="4" applyNumberFormat="0" applyFill="0" applyProtection="0">
      <alignment horizontal="right" vertical="center"/>
    </xf>
    <xf numFmtId="0" fontId="48" fillId="0" borderId="4" applyNumberFormat="0" applyFill="0" applyProtection="0">
      <alignment horizontal="right"/>
    </xf>
    <xf numFmtId="178" fontId="22" fillId="0" borderId="5">
      <alignment horizontal="right" vertical="center" wrapText="1"/>
    </xf>
    <xf numFmtId="0" fontId="48" fillId="0" borderId="4" applyNumberFormat="0" applyFill="0" applyProtection="0">
      <alignment horizontal="right" vertical="center"/>
    </xf>
    <xf numFmtId="0" fontId="48" fillId="0" borderId="4" applyNumberFormat="0" applyFill="0" applyProtection="0">
      <alignment horizontal="right"/>
    </xf>
    <xf numFmtId="178" fontId="22" fillId="0" borderId="5">
      <alignment horizontal="right" vertical="center" wrapText="1"/>
    </xf>
    <xf numFmtId="0" fontId="48" fillId="0" borderId="4">
      <alignment horizontal="right" vertical="center"/>
    </xf>
    <xf numFmtId="0" fontId="48" fillId="0" borderId="4">
      <alignment horizontal="right"/>
    </xf>
    <xf numFmtId="178" fontId="5" fillId="0" borderId="5" applyProtection="0">
      <alignment horizontal="right" vertical="center" wrapText="1"/>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pplyNumberFormat="0" applyFill="0" applyProtection="0">
      <alignment horizontal="right"/>
    </xf>
    <xf numFmtId="178" fontId="22" fillId="0" borderId="5">
      <alignment horizontal="right" vertical="center" wrapText="1"/>
    </xf>
    <xf numFmtId="0" fontId="48" fillId="0" borderId="4" applyNumberFormat="0" applyFill="0" applyProtection="0">
      <alignment horizontal="right"/>
    </xf>
    <xf numFmtId="0" fontId="48" fillId="0" borderId="4" applyNumberFormat="0" applyFill="0" applyProtection="0">
      <alignment horizontal="right"/>
    </xf>
    <xf numFmtId="0" fontId="48" fillId="0" borderId="4" applyNumberFormat="0" applyFill="0" applyProtection="0">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lignment horizontal="right"/>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8" fillId="0" borderId="4" applyNumberFormat="0" applyFill="0" applyProtection="0">
      <alignment horizontal="right" vertical="center"/>
    </xf>
    <xf numFmtId="0" fontId="42" fillId="0" borderId="26" applyProtection="0">
      <alignment vertical="center"/>
    </xf>
    <xf numFmtId="0" fontId="42" fillId="0" borderId="26" applyProtection="0">
      <alignment vertical="center"/>
    </xf>
    <xf numFmtId="0" fontId="42" fillId="0" borderId="26"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59" fillId="0" borderId="29"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73" fillId="0" borderId="0" applyNumberFormat="0" applyFill="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0" fontId="73" fillId="0" borderId="0" applyNumberFormat="0" applyFill="0" applyBorder="0" applyAlignment="0" applyProtection="0">
      <alignment vertical="center"/>
    </xf>
    <xf numFmtId="49" fontId="22" fillId="0" borderId="5" applyProtection="0">
      <alignment horizontal="center" vertical="center" wrapText="1"/>
    </xf>
    <xf numFmtId="49" fontId="22" fillId="0" borderId="5" applyProtection="0">
      <alignment horizontal="center" vertical="center" wrapText="1"/>
    </xf>
    <xf numFmtId="0" fontId="54" fillId="0" borderId="0" applyNumberFormat="0" applyFill="0" applyBorder="0" applyAlignment="0" applyProtection="0">
      <alignment vertical="center"/>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178" fontId="5" fillId="0" borderId="5" applyProtection="0">
      <alignment horizontal="right" vertical="center" wrapText="1"/>
    </xf>
    <xf numFmtId="0" fontId="93" fillId="0" borderId="39" applyNumberFormat="0" applyFill="0" applyAlignment="0" applyProtection="0">
      <alignment vertical="center"/>
    </xf>
    <xf numFmtId="178" fontId="5" fillId="0" borderId="5" applyProtection="0">
      <alignment horizontal="right" vertical="center" wrapText="1"/>
    </xf>
    <xf numFmtId="0" fontId="94" fillId="0" borderId="39" applyNumberFormat="0" applyFill="0" applyAlignment="0" applyProtection="0">
      <alignment vertical="center"/>
    </xf>
    <xf numFmtId="178" fontId="5" fillId="0" borderId="5" applyProtection="0">
      <alignment horizontal="right" vertical="center" wrapText="1"/>
    </xf>
    <xf numFmtId="0" fontId="94" fillId="0" borderId="39" applyProtection="0">
      <alignment vertical="center"/>
    </xf>
    <xf numFmtId="178" fontId="5" fillId="0" borderId="5" applyProtection="0">
      <alignment horizontal="right" vertical="center" wrapText="1"/>
    </xf>
    <xf numFmtId="178" fontId="5" fillId="0" borderId="5" applyProtection="0">
      <alignment horizontal="right" vertical="center" wrapText="1"/>
    </xf>
    <xf numFmtId="0" fontId="94" fillId="0" borderId="39" applyNumberFormat="0" applyFill="0" applyAlignment="0" applyProtection="0">
      <alignment vertical="center"/>
    </xf>
    <xf numFmtId="181" fontId="22" fillId="0" borderId="5">
      <alignment horizontal="right" vertical="center" wrapText="1"/>
    </xf>
    <xf numFmtId="181" fontId="22" fillId="0" borderId="5">
      <alignment horizontal="right" vertical="center" wrapText="1"/>
    </xf>
    <xf numFmtId="0" fontId="94" fillId="0" borderId="39" applyProtection="0">
      <alignment vertical="center"/>
    </xf>
    <xf numFmtId="0" fontId="94" fillId="0" borderId="39"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93" fillId="0" borderId="39"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0" fillId="0" borderId="40" applyNumberFormat="0" applyFill="0" applyAlignment="0" applyProtection="0">
      <alignment vertical="center"/>
    </xf>
    <xf numFmtId="0" fontId="50" fillId="0" borderId="40" applyProtection="0">
      <alignment vertical="center"/>
    </xf>
    <xf numFmtId="0" fontId="50" fillId="0" borderId="40" applyNumberFormat="0" applyFill="0" applyAlignment="0" applyProtection="0">
      <alignment vertical="center"/>
    </xf>
    <xf numFmtId="181" fontId="22" fillId="0" borderId="5">
      <alignment horizontal="right" vertical="center" wrapText="1"/>
    </xf>
    <xf numFmtId="181" fontId="22" fillId="0" borderId="5">
      <alignment horizontal="right" vertical="center" wrapText="1"/>
    </xf>
    <xf numFmtId="0" fontId="50" fillId="0" borderId="40" applyProtection="0">
      <alignment vertical="center"/>
    </xf>
    <xf numFmtId="0" fontId="50" fillId="0" borderId="4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50" fillId="0" borderId="0" applyNumberFormat="0" applyFill="0" applyBorder="0" applyAlignment="0" applyProtection="0">
      <alignment vertical="center"/>
    </xf>
    <xf numFmtId="181" fontId="5" fillId="0" borderId="5">
      <alignment horizontal="right" vertical="center" wrapText="1"/>
    </xf>
    <xf numFmtId="181" fontId="5" fillId="0" borderId="5">
      <alignment horizontal="right" vertical="center" wrapText="1"/>
    </xf>
    <xf numFmtId="0" fontId="50" fillId="0" borderId="0" applyProtection="0">
      <alignment vertical="center"/>
    </xf>
    <xf numFmtId="49" fontId="22" fillId="0" borderId="5">
      <alignment vertical="center" wrapText="1"/>
    </xf>
    <xf numFmtId="49" fontId="22" fillId="0" borderId="5">
      <alignment vertical="center" wrapText="1"/>
    </xf>
    <xf numFmtId="0" fontId="50" fillId="0" borderId="0" applyNumberFormat="0" applyFill="0" applyBorder="0" applyAlignment="0" applyProtection="0">
      <alignment vertical="center"/>
    </xf>
    <xf numFmtId="181" fontId="22" fillId="0" borderId="5">
      <alignment horizontal="right" vertical="center" wrapText="1"/>
    </xf>
    <xf numFmtId="181" fontId="22" fillId="0" borderId="5">
      <alignment horizontal="right" vertical="center" wrapText="1"/>
    </xf>
    <xf numFmtId="0" fontId="50" fillId="0" borderId="0" applyProtection="0">
      <alignment vertical="center"/>
    </xf>
    <xf numFmtId="49" fontId="22" fillId="0" borderId="5">
      <alignment vertical="center" wrapText="1"/>
    </xf>
    <xf numFmtId="49" fontId="22" fillId="0" borderId="5">
      <alignment vertical="center" wrapText="1"/>
    </xf>
    <xf numFmtId="0" fontId="50" fillId="0" borderId="0" applyProtection="0">
      <alignment vertical="center"/>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0" fontId="51" fillId="0" borderId="0" applyNumberFormat="0" applyFill="0" applyBorder="0" applyAlignment="0" applyProtection="0">
      <alignment vertical="center"/>
    </xf>
    <xf numFmtId="181" fontId="5" fillId="0" borderId="5">
      <alignment horizontal="right" vertical="center" wrapText="1"/>
    </xf>
    <xf numFmtId="0" fontId="54" fillId="0" borderId="0" applyProtection="0">
      <alignment vertical="center"/>
    </xf>
    <xf numFmtId="0" fontId="54" fillId="0" borderId="0" applyNumberFormat="0" applyFill="0" applyBorder="0" applyAlignment="0" applyProtection="0">
      <alignment vertical="center"/>
    </xf>
    <xf numFmtId="49" fontId="22" fillId="0" borderId="5">
      <alignment vertical="center" wrapText="1"/>
    </xf>
    <xf numFmtId="49" fontId="22" fillId="0" borderId="5">
      <alignment vertical="center" wrapText="1"/>
    </xf>
    <xf numFmtId="0" fontId="54" fillId="0" borderId="0" applyProtection="0">
      <alignment vertical="center"/>
    </xf>
    <xf numFmtId="0" fontId="54" fillId="0" borderId="0" applyProtection="0">
      <alignment vertical="center"/>
    </xf>
    <xf numFmtId="49" fontId="5" fillId="0" borderId="5" applyProtection="0">
      <alignment vertical="center" wrapText="1"/>
    </xf>
    <xf numFmtId="49" fontId="5" fillId="0" borderId="5" applyProtection="0">
      <alignment vertical="center" wrapText="1"/>
    </xf>
    <xf numFmtId="0" fontId="58" fillId="0" borderId="4">
      <alignment horizontal="center" vertical="center"/>
    </xf>
    <xf numFmtId="0" fontId="58" fillId="0" borderId="4">
      <alignment horizontal="center"/>
    </xf>
    <xf numFmtId="181" fontId="5" fillId="0" borderId="5">
      <alignment horizontal="right" vertical="center" wrapText="1"/>
    </xf>
    <xf numFmtId="181" fontId="5" fillId="0" borderId="5">
      <alignment horizontal="right" vertical="center" wrapText="1"/>
    </xf>
    <xf numFmtId="0" fontId="58" fillId="0" borderId="4">
      <alignment horizontal="center"/>
    </xf>
    <xf numFmtId="178" fontId="22" fillId="0" borderId="5">
      <alignment horizontal="right" vertical="center" wrapText="1"/>
    </xf>
    <xf numFmtId="0" fontId="58" fillId="0" borderId="4">
      <alignment horizontal="center"/>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0" fontId="58" fillId="0" borderId="4">
      <alignment horizontal="center"/>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0" fontId="58" fillId="0" borderId="4">
      <alignment horizontal="center"/>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0" fontId="58" fillId="0" borderId="4" applyNumberFormat="0" applyFill="0" applyProtection="0">
      <alignment horizontal="center" vertical="center"/>
    </xf>
    <xf numFmtId="0" fontId="58" fillId="0" borderId="4" applyNumberFormat="0" applyFill="0" applyProtection="0">
      <alignment horizontal="center"/>
    </xf>
    <xf numFmtId="0" fontId="58" fillId="0" borderId="4" applyNumberFormat="0" applyFill="0" applyProtection="0">
      <alignment horizontal="center"/>
    </xf>
    <xf numFmtId="0" fontId="58" fillId="0" borderId="4">
      <alignment horizontal="center"/>
    </xf>
    <xf numFmtId="49" fontId="22" fillId="0" borderId="5" applyProtection="0">
      <alignment vertical="center" wrapText="1"/>
    </xf>
    <xf numFmtId="0" fontId="58" fillId="0" borderId="4">
      <alignment horizontal="center"/>
    </xf>
    <xf numFmtId="178" fontId="22" fillId="0" borderId="5">
      <alignment horizontal="right" vertical="center" wrapText="1"/>
    </xf>
    <xf numFmtId="181" fontId="5" fillId="0" borderId="5" applyProtection="0">
      <alignment horizontal="right" vertical="center" wrapText="1"/>
    </xf>
    <xf numFmtId="0" fontId="58" fillId="0" borderId="4">
      <alignment horizontal="center"/>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58" fillId="0" borderId="4">
      <alignment horizontal="center"/>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58" fillId="0" borderId="4">
      <alignment horizontal="center"/>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58" fillId="0" borderId="4">
      <alignment horizontal="center"/>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58" fillId="0" borderId="4" applyNumberFormat="0" applyFill="0" applyProtection="0">
      <alignment horizontal="center"/>
    </xf>
    <xf numFmtId="0" fontId="58" fillId="0" borderId="4" applyNumberFormat="0" applyFill="0" applyProtection="0">
      <alignment horizontal="center"/>
    </xf>
    <xf numFmtId="0" fontId="58" fillId="0" borderId="4" applyNumberFormat="0" applyFill="0" applyProtection="0">
      <alignment horizontal="center"/>
    </xf>
    <xf numFmtId="0" fontId="58" fillId="0" borderId="4">
      <alignment horizontal="center"/>
    </xf>
    <xf numFmtId="0" fontId="58" fillId="0" borderId="4" applyNumberFormat="0" applyFill="0" applyProtection="0">
      <alignment horizontal="center" vertical="center"/>
    </xf>
    <xf numFmtId="0" fontId="58" fillId="0" borderId="4" applyNumberFormat="0" applyFill="0" applyProtection="0">
      <alignment horizontal="center" vertical="center"/>
    </xf>
    <xf numFmtId="0" fontId="58" fillId="0" borderId="4" applyNumberFormat="0" applyFill="0" applyProtection="0">
      <alignment horizontal="center"/>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49" fontId="22" fillId="0" borderId="5" applyProtection="0">
      <alignment vertical="center" wrapText="1"/>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pplyProtection="0">
      <alignment horizontal="center"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0" fontId="28" fillId="0" borderId="34" applyNumberFormat="0" applyFill="0" applyAlignment="0" applyProtection="0">
      <alignment vertical="center"/>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0" fontId="28" fillId="0" borderId="35" applyNumberFormat="0" applyFill="0" applyAlignment="0" applyProtection="0">
      <alignment vertical="center"/>
    </xf>
    <xf numFmtId="178"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0" fontId="95" fillId="10" borderId="0"/>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0" fontId="82" fillId="0" borderId="12" applyNumberFormat="0" applyFill="0" applyProtection="0">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82" fillId="0" borderId="12" applyNumberFormat="0" applyFill="0" applyProtection="0">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82" fillId="0" borderId="12" applyNumberFormat="0" applyFill="0" applyProtection="0">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82" fillId="0" borderId="12" applyNumberFormat="0" applyFill="0" applyProtection="0">
      <alignment horizontal="left"/>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0" fontId="82" fillId="0" borderId="12" applyNumberFormat="0" applyFill="0" applyProtection="0">
      <alignment horizontal="left" vertical="center"/>
    </xf>
    <xf numFmtId="0" fontId="82" fillId="0" borderId="12">
      <alignment horizontal="left"/>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0" fontId="82" fillId="0" borderId="12" applyNumberFormat="0" applyFill="0" applyProtection="0">
      <alignment horizontal="left"/>
    </xf>
    <xf numFmtId="0" fontId="82" fillId="0" borderId="12" applyNumberFormat="0" applyFill="0" applyProtection="0">
      <alignment horizontal="left" vertical="center"/>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0" fontId="82" fillId="0" borderId="12" applyNumberFormat="0" applyFill="0" applyProtection="0">
      <alignment horizontal="left"/>
    </xf>
    <xf numFmtId="0" fontId="82" fillId="0" borderId="12">
      <alignment horizontal="left"/>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28">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28">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5"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28">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81" fontId="22" fillId="0" borderId="28">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0" fontId="48" fillId="0" borderId="4">
      <alignment horizontal="left"/>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5"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49" fontId="22"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178" fontId="22" fillId="0" borderId="5" applyProtection="0">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49" fontId="22" fillId="0" borderId="5" applyProtection="0">
      <alignment vertical="center" wrapText="1"/>
    </xf>
    <xf numFmtId="178" fontId="22" fillId="0" borderId="5" applyProtection="0">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178" fontId="22" fillId="0" borderId="5">
      <alignment horizontal="right" vertical="center" wrapText="1"/>
    </xf>
    <xf numFmtId="178" fontId="22" fillId="0" borderId="5">
      <alignment horizontal="right" vertical="center" wrapText="1"/>
    </xf>
    <xf numFmtId="49" fontId="22"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28" applyProtection="0">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lignmen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81" fontId="5" fillId="0" borderId="5" applyProtection="0">
      <alignment horizontal="right" vertical="center" wrapText="1"/>
    </xf>
    <xf numFmtId="178" fontId="22" fillId="0" borderId="5">
      <alignment horizontal="right" vertical="center" wrapText="1"/>
    </xf>
    <xf numFmtId="181" fontId="5" fillId="0" borderId="5" applyProtection="0">
      <alignment horizontal="right" vertical="center" wrapText="1"/>
    </xf>
    <xf numFmtId="178" fontId="22" fillId="0" borderId="5">
      <alignment horizontal="right" vertical="center" wrapText="1"/>
    </xf>
    <xf numFmtId="181"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178" fontId="22" fillId="0" borderId="5">
      <alignment horizontal="right" vertical="center" wrapText="1"/>
    </xf>
    <xf numFmtId="49" fontId="5" fillId="0" borderId="5" applyProtection="0">
      <alignment vertical="center" wrapText="1"/>
    </xf>
    <xf numFmtId="178"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178" fontId="22" fillId="0" borderId="5" applyProtection="0">
      <alignment horizontal="right" vertical="center" wrapText="1"/>
    </xf>
    <xf numFmtId="49" fontId="5" fillId="0" borderId="5" applyProtection="0">
      <alignment vertical="center" wrapText="1"/>
    </xf>
    <xf numFmtId="178" fontId="22" fillId="0" borderId="5" applyProtection="0">
      <alignment horizontal="righ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pplyProtection="0">
      <alignment vertical="center" wrapText="1"/>
    </xf>
    <xf numFmtId="49" fontId="5" fillId="0" borderId="5" applyProtection="0">
      <alignmen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78" fontId="22" fillId="0" borderId="5">
      <alignment horizontal="right"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0" fontId="22" fillId="0" borderId="0" applyProtection="0">
      <alignment vertical="center"/>
    </xf>
    <xf numFmtId="0" fontId="24" fillId="0" borderId="0">
      <alignment vertical="center"/>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22"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22"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22"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22"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0" fontId="22"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28"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9" fillId="0" borderId="1">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49" fontId="9" fillId="0" borderId="1" applyProtection="0">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49" fontId="9" fillId="0" borderId="1">
      <alignment horizontal="center"/>
    </xf>
    <xf numFmtId="178" fontId="5" fillId="0" borderId="5" applyProtection="0">
      <alignment horizontal="right" vertical="center" wrapText="1"/>
    </xf>
    <xf numFmtId="178" fontId="5" fillId="0" borderId="5" applyProtection="0">
      <alignment horizontal="right" vertical="center" wrapText="1"/>
    </xf>
    <xf numFmtId="49" fontId="9" fillId="0" borderId="1">
      <alignment horizontal="center" vertical="center"/>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pplyProtection="0">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5" fillId="0" borderId="5">
      <alignmen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12" fillId="0" borderId="2">
      <alignment horizontal="center" vertical="center" wrapText="1"/>
    </xf>
    <xf numFmtId="178" fontId="5" fillId="0" borderId="5" applyProtection="0">
      <alignment horizontal="right" vertical="center" wrapText="1"/>
    </xf>
    <xf numFmtId="49" fontId="12" fillId="0" borderId="2">
      <alignment horizontal="center" vertical="center" wrapText="1"/>
    </xf>
    <xf numFmtId="178" fontId="5" fillId="0" borderId="5" applyProtection="0">
      <alignment horizontal="right" vertical="center" wrapText="1"/>
    </xf>
    <xf numFmtId="49" fontId="12" fillId="0" borderId="2">
      <alignment horizontal="center"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lignment horizontal="right" vertical="center" wrapText="1"/>
    </xf>
    <xf numFmtId="181" fontId="22"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0" fontId="36" fillId="0" borderId="0" applyProtection="0"/>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0" fontId="36" fillId="0" borderId="0">
      <alignment vertical="center"/>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lignment horizontal="right" vertical="center" wrapText="1"/>
    </xf>
    <xf numFmtId="178"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81" fontId="22" fillId="0" borderId="5" applyProtection="0">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178" fontId="5" fillId="0" borderId="5">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pplyProtection="0">
      <alignment horizontal="right" vertical="center" wrapText="1"/>
    </xf>
    <xf numFmtId="49" fontId="22" fillId="0" borderId="5">
      <alignment horizontal="center" vertical="center" wrapText="1"/>
    </xf>
    <xf numFmtId="49" fontId="22" fillId="0" borderId="5">
      <alignment horizontal="center" vertical="center" wrapText="1"/>
    </xf>
    <xf numFmtId="178" fontId="5" fillId="0" borderId="5">
      <alignment horizontal="right" vertical="center" wrapText="1"/>
    </xf>
    <xf numFmtId="49" fontId="22" fillId="0" borderId="5" applyProtection="0">
      <alignment vertical="center" wrapText="1"/>
    </xf>
    <xf numFmtId="178" fontId="5" fillId="0" borderId="5">
      <alignment horizontal="right" vertical="center" wrapText="1"/>
    </xf>
    <xf numFmtId="49" fontId="22" fillId="0" borderId="5" applyProtection="0">
      <alignment vertical="center" wrapText="1"/>
    </xf>
    <xf numFmtId="178" fontId="5" fillId="0" borderId="5">
      <alignment horizontal="right" vertical="center" wrapText="1"/>
    </xf>
    <xf numFmtId="49" fontId="22" fillId="0" borderId="5" applyProtection="0">
      <alignment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22" fillId="0" borderId="5">
      <alignment vertical="center" wrapText="1"/>
    </xf>
    <xf numFmtId="178" fontId="5" fillId="0" borderId="5">
      <alignment horizontal="right" vertical="center" wrapText="1"/>
    </xf>
    <xf numFmtId="49" fontId="22" fillId="0" borderId="5">
      <alignment vertical="center" wrapText="1"/>
    </xf>
    <xf numFmtId="178" fontId="5" fillId="0" borderId="5">
      <alignment horizontal="right" vertical="center" wrapText="1"/>
    </xf>
    <xf numFmtId="49" fontId="22" fillId="0" borderId="5">
      <alignment vertical="center" wrapText="1"/>
    </xf>
    <xf numFmtId="49" fontId="22" fillId="0" borderId="5" applyProtection="0">
      <alignment horizontal="center" vertical="center" wrapText="1"/>
    </xf>
    <xf numFmtId="178" fontId="5" fillId="0" borderId="5">
      <alignment horizontal="right" vertical="center" wrapText="1"/>
    </xf>
    <xf numFmtId="49" fontId="22" fillId="0" borderId="5">
      <alignment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49" fontId="22" fillId="0" borderId="5" applyProtection="0">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78"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0" fontId="109" fillId="0" borderId="0">
      <alignment vertical="center"/>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0" fontId="109" fillId="0" borderId="0">
      <alignment vertical="center"/>
    </xf>
    <xf numFmtId="181" fontId="22" fillId="0" borderId="5">
      <alignment horizontal="right" vertical="center" wrapText="1"/>
    </xf>
    <xf numFmtId="181" fontId="22" fillId="0" borderId="5">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9" fillId="0" borderId="1">
      <alignment horizontal="center" vertical="center"/>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0" fontId="109" fillId="0" borderId="0">
      <alignment vertical="center"/>
    </xf>
    <xf numFmtId="181" fontId="22" fillId="0" borderId="5" applyProtection="0">
      <alignment horizontal="righ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28">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28">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28"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28"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49" fontId="22" fillId="0" borderId="5">
      <alignment horizontal="center"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22"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0" fontId="109" fillId="0" borderId="0">
      <alignment vertical="center"/>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0" fontId="109" fillId="0" borderId="0">
      <alignment vertical="center"/>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8" fillId="0" borderId="34" applyNumberFormat="0" applyFill="0" applyAlignment="0" applyProtection="0">
      <alignment vertical="center"/>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8" fillId="0" borderId="34" applyNumberFormat="0" applyFill="0" applyAlignment="0" applyProtection="0">
      <alignment vertical="center"/>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0" fontId="28" fillId="0" borderId="34" applyNumberFormat="0" applyFill="0" applyAlignment="0" applyProtection="0">
      <alignment vertical="center"/>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0" fontId="109" fillId="0" borderId="0">
      <alignment vertical="center"/>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0" fontId="109" fillId="0" borderId="0">
      <alignment vertical="center"/>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49" fontId="22" fillId="0" borderId="5" applyProtection="0">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49" fontId="5" fillId="0" borderId="5">
      <alignment horizontal="center" vertical="center" wrapText="1"/>
    </xf>
    <xf numFmtId="181" fontId="22" fillId="0" borderId="5">
      <alignment horizontal="right" vertical="center" wrapText="1"/>
    </xf>
    <xf numFmtId="181" fontId="22" fillId="0" borderId="5">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0" fontId="28" fillId="0" borderId="34" applyNumberFormat="0" applyFill="0" applyAlignment="0" applyProtection="0">
      <alignment vertical="center"/>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0" fontId="28" fillId="0" borderId="34" applyNumberFormat="0" applyFill="0" applyAlignment="0" applyProtection="0">
      <alignment vertical="center"/>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49" fontId="22"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49" fontId="5" fillId="0" borderId="5">
      <alignment vertical="center" wrapText="1"/>
    </xf>
    <xf numFmtId="49" fontId="5" fillId="0" borderId="5">
      <alignmen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49" fontId="5" fillId="0" borderId="5">
      <alignment vertical="center" wrapText="1"/>
    </xf>
    <xf numFmtId="49" fontId="5" fillId="0" borderId="5">
      <alignmen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pplyProtection="0">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22"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horizontal="center" vertical="center" wrapText="1"/>
    </xf>
    <xf numFmtId="181" fontId="5" fillId="0" borderId="5">
      <alignment horizontal="right" vertical="center" wrapText="1"/>
    </xf>
    <xf numFmtId="49" fontId="22" fillId="0" borderId="5" applyProtection="0">
      <alignment horizontal="center" vertical="center" wrapText="1"/>
    </xf>
    <xf numFmtId="181" fontId="5" fillId="0" borderId="5">
      <alignment horizontal="right" vertical="center" wrapText="1"/>
    </xf>
    <xf numFmtId="49" fontId="5" fillId="0" borderId="5" applyProtection="0">
      <alignment vertical="center" wrapText="1"/>
    </xf>
    <xf numFmtId="49" fontId="22" fillId="0" borderId="5" applyProtection="0">
      <alignment horizontal="center" vertical="center" wrapText="1"/>
    </xf>
    <xf numFmtId="181" fontId="5" fillId="0" borderId="5">
      <alignment horizontal="right" vertical="center" wrapText="1"/>
    </xf>
    <xf numFmtId="49" fontId="5" fillId="0" borderId="5" applyProtection="0">
      <alignment vertical="center" wrapText="1"/>
    </xf>
    <xf numFmtId="49" fontId="22" fillId="0" borderId="5" applyProtection="0">
      <alignment horizontal="center"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22" fillId="0" borderId="28">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22" fillId="0" borderId="28">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22" fillId="0" borderId="28">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5" fillId="0" borderId="5">
      <alignment horizontal="center" vertical="center" wrapText="1"/>
    </xf>
    <xf numFmtId="49" fontId="5" fillId="0" borderId="5">
      <alignment horizontal="center"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207" fontId="48" fillId="0" borderId="12">
      <alignment horizontal="right" vertical="center"/>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207" fontId="48" fillId="0" borderId="12" applyFill="0" applyProtection="0">
      <alignment horizontal="right"/>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207" fontId="48" fillId="0" borderId="12">
      <alignment horizontal="right"/>
    </xf>
    <xf numFmtId="49" fontId="22" fillId="0" borderId="5" applyProtection="0">
      <alignment horizontal="center"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horizontal="center" vertical="center" wrapText="1"/>
    </xf>
    <xf numFmtId="49" fontId="5" fillId="0" borderId="5">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67" fillId="21" borderId="0" applyNumberFormat="0" applyBorder="0" applyAlignment="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0" borderId="0">
      <alignment vertical="center"/>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8" fillId="0" borderId="34" applyNumberFormat="0" applyFill="0" applyAlignment="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0" fontId="28" fillId="0" borderId="34" applyNumberFormat="0" applyFill="0" applyAlignment="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0" fontId="28" fillId="0" borderId="34" applyNumberFormat="0" applyFill="0" applyAlignment="0" applyProtection="0">
      <alignment vertical="center"/>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0" borderId="0"/>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0" borderId="0"/>
    <xf numFmtId="181" fontId="5" fillId="0" borderId="5" applyProtection="0">
      <alignment horizontal="right" vertical="center" wrapText="1"/>
    </xf>
    <xf numFmtId="181" fontId="5" fillId="0" borderId="5" applyProtection="0">
      <alignment horizontal="right" vertical="center" wrapText="1"/>
    </xf>
    <xf numFmtId="0" fontId="22" fillId="0" borderId="0"/>
    <xf numFmtId="181" fontId="5" fillId="0" borderId="5" applyProtection="0">
      <alignment horizontal="right" vertical="center" wrapText="1"/>
    </xf>
    <xf numFmtId="181" fontId="5" fillId="0" borderId="5" applyProtection="0">
      <alignment horizontal="right" vertical="center" wrapText="1"/>
    </xf>
    <xf numFmtId="0" fontId="22" fillId="0" borderId="0"/>
    <xf numFmtId="181" fontId="5" fillId="0" borderId="5" applyProtection="0">
      <alignment horizontal="right" vertical="center" wrapText="1"/>
    </xf>
    <xf numFmtId="181" fontId="5" fillId="0" borderId="5" applyProtection="0">
      <alignment horizontal="right" vertical="center" wrapText="1"/>
    </xf>
    <xf numFmtId="0" fontId="22" fillId="0" borderId="0"/>
    <xf numFmtId="0" fontId="22" fillId="0" borderId="0"/>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0" fontId="22" fillId="0" borderId="0"/>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horizontal="center" vertical="center" wrapText="1"/>
    </xf>
    <xf numFmtId="49" fontId="5" fillId="0" borderId="5">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lignment vertical="center" wrapText="1"/>
    </xf>
    <xf numFmtId="49" fontId="5" fillId="0" borderId="5">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10" fillId="0" borderId="2">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10" fillId="0" borderId="2">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10" fillId="0" borderId="2">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horizontal="center" vertical="center" wrapText="1"/>
    </xf>
    <xf numFmtId="49" fontId="5"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49" fontId="5" fillId="0" borderId="5">
      <alignment horizontal="center" vertical="center" wrapText="1"/>
    </xf>
    <xf numFmtId="49" fontId="5" fillId="0" borderId="5">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22" fillId="0" borderId="5" applyProtection="0">
      <alignment vertical="center" wrapText="1"/>
    </xf>
    <xf numFmtId="49" fontId="22"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vertical="center" wrapText="1"/>
    </xf>
    <xf numFmtId="49" fontId="5" fillId="0" borderId="5" applyProtection="0">
      <alignmen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0" fontId="67" fillId="21" borderId="0"/>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28">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horizontal="center" vertical="center" wrapText="1"/>
    </xf>
    <xf numFmtId="49" fontId="22" fillId="0" borderId="5">
      <alignment horizontal="center"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22"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181" fontId="5" fillId="0" borderId="5">
      <alignment horizontal="right" vertical="center" wrapText="1"/>
    </xf>
    <xf numFmtId="181" fontId="5" fillId="0" borderId="5">
      <alignment horizontal="right" vertical="center" wrapText="1"/>
    </xf>
    <xf numFmtId="49" fontId="5" fillId="0" borderId="5">
      <alignmen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pplyProtection="0">
      <alignment horizontal="center"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181" fontId="5" fillId="0" borderId="5">
      <alignment horizontal="right" vertical="center" wrapText="1"/>
    </xf>
    <xf numFmtId="49" fontId="22" fillId="0" borderId="5">
      <alignment vertical="center" wrapText="1"/>
    </xf>
    <xf numFmtId="49" fontId="22" fillId="0" borderId="5">
      <alignment vertical="center" wrapText="1"/>
    </xf>
    <xf numFmtId="181" fontId="5" fillId="0" borderId="5" applyProtection="0">
      <alignment horizontal="right" vertical="center" wrapText="1"/>
    </xf>
    <xf numFmtId="181" fontId="5" fillId="0" borderId="5">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49" fontId="5" fillId="0" borderId="5" applyProtection="0">
      <alignment horizontal="center"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pplyProtection="0">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0" fontId="67" fillId="21" borderId="0"/>
    <xf numFmtId="49" fontId="5" fillId="0" borderId="5">
      <alignment horizontal="center" vertical="center" wrapText="1"/>
    </xf>
    <xf numFmtId="181" fontId="5" fillId="0" borderId="5">
      <alignment horizontal="right" vertical="center" wrapText="1"/>
    </xf>
    <xf numFmtId="0" fontId="67" fillId="21" borderId="0"/>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49" fontId="5" fillId="0" borderId="5">
      <alignment horizontal="center"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5" fillId="0" borderId="5">
      <alignment horizontal="right" vertical="center" wrapText="1"/>
    </xf>
    <xf numFmtId="181" fontId="22" fillId="0" borderId="5">
      <alignment horizontal="right" vertical="center" wrapText="1"/>
    </xf>
    <xf numFmtId="49" fontId="5" fillId="0" borderId="5" applyProtection="0">
      <alignment horizontal="center" vertical="center" wrapText="1"/>
    </xf>
    <xf numFmtId="181" fontId="22" fillId="0" borderId="28">
      <alignment horizontal="right" vertical="center" wrapText="1"/>
    </xf>
    <xf numFmtId="181" fontId="22" fillId="0" borderId="28">
      <alignment horizontal="right" vertical="center" wrapText="1"/>
    </xf>
    <xf numFmtId="181" fontId="22" fillId="0" borderId="28">
      <alignment horizontal="right" vertical="center" wrapText="1"/>
    </xf>
    <xf numFmtId="181" fontId="22" fillId="0" borderId="28">
      <alignment horizontal="right" vertical="center" wrapText="1"/>
    </xf>
    <xf numFmtId="181" fontId="22" fillId="0" borderId="28">
      <alignment horizontal="right" vertical="center" wrapText="1"/>
    </xf>
    <xf numFmtId="181" fontId="22" fillId="0" borderId="28">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49" fontId="5" fillId="0" borderId="5" applyProtection="0">
      <alignment vertical="center" wrapText="1"/>
    </xf>
    <xf numFmtId="181" fontId="22" fillId="0" borderId="28">
      <alignment horizontal="right" vertical="center" wrapText="1"/>
    </xf>
    <xf numFmtId="49" fontId="5" fillId="0" borderId="5" applyProtection="0">
      <alignmen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49" fontId="5" fillId="0" borderId="5" applyProtection="0">
      <alignmen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49" fontId="5" fillId="0" borderId="5" applyProtection="0">
      <alignmen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181" fontId="22" fillId="0" borderId="28" applyProtection="0">
      <alignment horizontal="right" vertical="center" wrapText="1"/>
    </xf>
    <xf numFmtId="49" fontId="5" fillId="0" borderId="5" applyProtection="0">
      <alignment vertical="center" wrapText="1"/>
    </xf>
    <xf numFmtId="181" fontId="22" fillId="0" borderId="28" applyProtection="0">
      <alignment horizontal="right" vertical="center" wrapText="1"/>
    </xf>
    <xf numFmtId="49" fontId="5" fillId="0" borderId="5" applyProtection="0">
      <alignment vertical="center" wrapText="1"/>
    </xf>
    <xf numFmtId="181" fontId="22" fillId="0" borderId="28" applyProtection="0">
      <alignment horizontal="right" vertical="center" wrapText="1"/>
    </xf>
    <xf numFmtId="49" fontId="5" fillId="0" borderId="5" applyProtection="0">
      <alignment vertical="center" wrapText="1"/>
    </xf>
    <xf numFmtId="181" fontId="22" fillId="0" borderId="28" applyProtection="0">
      <alignment horizontal="right" vertical="center" wrapText="1"/>
    </xf>
    <xf numFmtId="181" fontId="22" fillId="0" borderId="28">
      <alignment horizontal="right" vertical="center" wrapText="1"/>
    </xf>
    <xf numFmtId="181" fontId="22" fillId="0" borderId="28">
      <alignment horizontal="righ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0" fontId="95" fillId="10" borderId="0"/>
    <xf numFmtId="49" fontId="22" fillId="0" borderId="5">
      <alignment vertical="center" wrapText="1"/>
    </xf>
    <xf numFmtId="49" fontId="22" fillId="0" borderId="5">
      <alignment vertical="center" wrapText="1"/>
    </xf>
    <xf numFmtId="0" fontId="95" fillId="10" borderId="0"/>
    <xf numFmtId="49" fontId="22" fillId="0" borderId="5">
      <alignment vertical="center" wrapText="1"/>
    </xf>
    <xf numFmtId="49" fontId="22" fillId="0" borderId="5">
      <alignment vertical="center" wrapText="1"/>
    </xf>
    <xf numFmtId="0" fontId="95" fillId="10" borderId="0"/>
    <xf numFmtId="49" fontId="22" fillId="0" borderId="5">
      <alignment vertical="center" wrapText="1"/>
    </xf>
    <xf numFmtId="49" fontId="22" fillId="0" borderId="5">
      <alignment vertical="center" wrapText="1"/>
    </xf>
    <xf numFmtId="0" fontId="95" fillId="10" borderId="0"/>
    <xf numFmtId="49" fontId="22" fillId="0" borderId="5">
      <alignment vertical="center" wrapText="1"/>
    </xf>
    <xf numFmtId="49" fontId="22" fillId="0" borderId="5">
      <alignment vertical="center" wrapText="1"/>
    </xf>
    <xf numFmtId="0" fontId="95" fillId="10" borderId="0" applyProtection="0"/>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96" fillId="17" borderId="0" applyNumberFormat="0" applyBorder="0" applyAlignment="0" applyProtection="0">
      <alignment vertical="center"/>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10" fillId="0" borderId="2">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10" fillId="0" borderId="2"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207" fontId="48" fillId="0" borderId="12" applyFill="0" applyProtection="0">
      <alignment horizontal="righ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207" fontId="48" fillId="0" borderId="12" applyFill="0" applyProtection="0">
      <alignment horizontal="righ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209" fontId="24" fillId="0" borderId="0" applyFont="0" applyFill="0" applyBorder="0" applyAlignment="0" applyProtection="0">
      <alignment vertical="center"/>
    </xf>
    <xf numFmtId="209" fontId="22" fillId="0" borderId="0" applyFont="0" applyFill="0" applyBorder="0" applyAlignment="0" applyProtection="0">
      <alignment vertical="center"/>
    </xf>
    <xf numFmtId="49" fontId="22" fillId="0" borderId="5" applyProtection="0">
      <alignment vertical="center" wrapText="1"/>
    </xf>
    <xf numFmtId="49" fontId="22"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3" fontId="22" fillId="0" borderId="0" applyFont="0" applyFill="0" applyBorder="0" applyAlignment="0" applyProtection="0"/>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0" fontId="24" fillId="0" borderId="0">
      <alignmen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0" fontId="24" fillId="0" borderId="0">
      <alignment vertical="center"/>
    </xf>
    <xf numFmtId="49" fontId="22" fillId="0" borderId="5" applyProtection="0">
      <alignment vertical="center" wrapText="1"/>
    </xf>
    <xf numFmtId="49" fontId="22" fillId="0" borderId="5" applyProtection="0">
      <alignment vertical="center" wrapText="1"/>
    </xf>
    <xf numFmtId="0" fontId="24" fillId="0" borderId="0">
      <alignment vertical="center"/>
    </xf>
    <xf numFmtId="49" fontId="22" fillId="0" borderId="5" applyProtection="0">
      <alignment vertical="center" wrapText="1"/>
    </xf>
    <xf numFmtId="49" fontId="22" fillId="0" borderId="5" applyProtection="0">
      <alignment vertical="center" wrapText="1"/>
    </xf>
    <xf numFmtId="0" fontId="24" fillId="0" borderId="0">
      <alignment vertical="center"/>
    </xf>
    <xf numFmtId="49" fontId="22" fillId="0" borderId="5" applyProtection="0">
      <alignment vertical="center" wrapText="1"/>
    </xf>
    <xf numFmtId="49" fontId="22" fillId="0" borderId="5" applyProtection="0">
      <alignment vertical="center" wrapText="1"/>
    </xf>
    <xf numFmtId="0" fontId="24" fillId="0" borderId="0">
      <alignment vertical="center"/>
    </xf>
    <xf numFmtId="0" fontId="24" fillId="0" borderId="0">
      <alignment vertical="center"/>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10" fillId="0" borderId="2">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pplyProtection="0">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vertical="center" wrapText="1"/>
    </xf>
    <xf numFmtId="49" fontId="22"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5" fillId="0" borderId="5">
      <alignment horizontal="center"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5"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5" fillId="0" borderId="5">
      <alignment horizontal="center"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5"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9" fillId="0" borderId="1" applyProtection="0">
      <alignment horizontal="center"/>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9" fillId="0" borderId="1">
      <alignment horizontal="center" vertical="center"/>
    </xf>
    <xf numFmtId="49" fontId="22" fillId="0" borderId="5">
      <alignment vertical="center" wrapText="1"/>
    </xf>
    <xf numFmtId="49" fontId="22" fillId="0" borderId="5">
      <alignment vertical="center" wrapText="1"/>
    </xf>
    <xf numFmtId="49" fontId="9" fillId="0" borderId="1">
      <alignment horizontal="center" vertical="center"/>
    </xf>
    <xf numFmtId="49" fontId="22" fillId="0" borderId="5">
      <alignment vertical="center" wrapText="1"/>
    </xf>
    <xf numFmtId="49" fontId="22" fillId="0" borderId="5">
      <alignment vertical="center" wrapText="1"/>
    </xf>
    <xf numFmtId="49" fontId="9" fillId="0" borderId="1">
      <alignment horizontal="center" vertical="center"/>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pplyProtection="0">
      <alignment vertical="center" wrapText="1"/>
    </xf>
    <xf numFmtId="49" fontId="22"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pplyProtection="0">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vertical="center" wrapText="1"/>
    </xf>
    <xf numFmtId="49" fontId="5"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22"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209" fontId="22" fillId="0" borderId="0" applyFont="0" applyFill="0" applyBorder="0" applyAlignment="0" applyProtection="0">
      <alignment vertical="center"/>
    </xf>
    <xf numFmtId="209" fontId="24" fillId="0" borderId="0" applyFont="0" applyFill="0" applyBorder="0" applyAlignment="0" applyProtection="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209" fontId="24" fillId="0" borderId="0" applyFont="0" applyFill="0" applyBorder="0" applyAlignment="0" applyProtection="0">
      <alignment vertical="center"/>
    </xf>
    <xf numFmtId="209" fontId="22" fillId="0" borderId="0" applyFont="0" applyFill="0" applyBorder="0" applyAlignment="0" applyProtection="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49" fontId="5" fillId="0" borderId="5">
      <alignment vertical="center" wrapText="1"/>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49" fontId="5" fillId="0" borderId="5">
      <alignment vertical="center" wrapText="1"/>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49" fontId="5" fillId="0" borderId="5">
      <alignment vertical="center" wrapText="1"/>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49" fontId="5" fillId="0" borderId="5">
      <alignment vertical="center" wrapText="1"/>
    </xf>
    <xf numFmtId="209" fontId="22" fillId="0" borderId="0"/>
    <xf numFmtId="209" fontId="22" fillId="0" borderId="0" applyFont="0" applyFill="0" applyBorder="0" applyAlignment="0" applyProtection="0">
      <alignment vertical="center"/>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209" fontId="24" fillId="0" borderId="0" applyFont="0" applyFill="0" applyBorder="0" applyAlignment="0" applyProtection="0">
      <alignment vertical="center"/>
    </xf>
    <xf numFmtId="209" fontId="22" fillId="0" borderId="0" applyFont="0" applyFill="0" applyBorder="0" applyAlignment="0" applyProtection="0">
      <alignment vertical="center"/>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3" fontId="22" fillId="0" borderId="0" applyFont="0" applyFill="0" applyBorder="0" applyAlignment="0" applyProtection="0"/>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0" fontId="83" fillId="0" borderId="0">
      <alignment vertic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83" fillId="0" borderId="0"/>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83" fillId="0" borderId="0">
      <alignment vertic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83" fillId="0" borderId="0">
      <alignment vertic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83" fillId="0" borderId="0">
      <alignment vertic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0" fontId="83" fillId="0" borderId="0">
      <alignment vertical="center"/>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0" fontId="36" fillId="0" borderId="0">
      <alignment vertical="center"/>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22" fillId="0" borderId="5" applyProtection="0">
      <alignment horizontal="center" vertical="center" wrapText="1"/>
    </xf>
    <xf numFmtId="49" fontId="5" fillId="0" borderId="5">
      <alignment vertical="center" wrapText="1"/>
    </xf>
    <xf numFmtId="49" fontId="5" fillId="0" borderId="5">
      <alignment vertical="center" wrapText="1"/>
    </xf>
    <xf numFmtId="49" fontId="22"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horizontal="center"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0" fontId="48" fillId="0" borderId="4" applyNumberFormat="0" applyFill="0" applyProtection="0">
      <alignment horizontal="lef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22"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4" fillId="0" borderId="0">
      <alignment vertical="center"/>
    </xf>
    <xf numFmtId="0" fontId="24" fillId="0" borderId="0">
      <alignment vertical="center"/>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24" fillId="0" borderId="0">
      <alignment vertical="center"/>
    </xf>
    <xf numFmtId="0" fontId="109" fillId="0" borderId="0">
      <alignment vertical="center"/>
    </xf>
    <xf numFmtId="49" fontId="22" fillId="0" borderId="5">
      <alignment horizontal="center" vertical="center" wrapText="1"/>
    </xf>
    <xf numFmtId="0" fontId="24" fillId="0" borderId="0">
      <alignment vertical="center"/>
    </xf>
    <xf numFmtId="0" fontId="109" fillId="0" borderId="0">
      <alignment vertical="center"/>
    </xf>
    <xf numFmtId="49" fontId="22" fillId="0" borderId="5">
      <alignment horizontal="center" vertical="center" wrapText="1"/>
    </xf>
    <xf numFmtId="0" fontId="109" fillId="0" borderId="0">
      <alignment vertical="center"/>
    </xf>
    <xf numFmtId="0" fontId="109" fillId="0" borderId="0">
      <alignment vertical="center"/>
    </xf>
    <xf numFmtId="49" fontId="22" fillId="0" borderId="5">
      <alignment horizontal="center" vertical="center" wrapText="1"/>
    </xf>
    <xf numFmtId="0" fontId="109" fillId="0" borderId="0">
      <alignment vertical="center"/>
    </xf>
    <xf numFmtId="0" fontId="24" fillId="0" borderId="0">
      <alignment vertical="center"/>
    </xf>
    <xf numFmtId="49" fontId="22" fillId="0" borderId="5">
      <alignment horizontal="center" vertical="center" wrapText="1"/>
    </xf>
    <xf numFmtId="0" fontId="24" fillId="0" borderId="0">
      <alignment vertical="center"/>
    </xf>
    <xf numFmtId="0" fontId="109" fillId="0" borderId="0">
      <alignment vertical="center"/>
    </xf>
    <xf numFmtId="49" fontId="22" fillId="0" borderId="5">
      <alignment horizontal="center" vertical="center" wrapText="1"/>
    </xf>
    <xf numFmtId="0" fontId="109" fillId="0" borderId="0">
      <alignment vertical="center"/>
    </xf>
    <xf numFmtId="0" fontId="24" fillId="0" borderId="0">
      <alignment vertical="center"/>
    </xf>
    <xf numFmtId="49" fontId="22" fillId="0" borderId="5">
      <alignment horizontal="center" vertical="center" wrapText="1"/>
    </xf>
    <xf numFmtId="0" fontId="109" fillId="0" borderId="0">
      <alignment vertical="center"/>
    </xf>
    <xf numFmtId="0" fontId="109" fillId="0" borderId="0">
      <alignment vertical="center"/>
    </xf>
    <xf numFmtId="49" fontId="22" fillId="0" borderId="5">
      <alignment horizontal="center" vertical="center" wrapText="1"/>
    </xf>
    <xf numFmtId="49" fontId="22" fillId="0" borderId="5">
      <alignment horizontal="center" vertical="center" wrapText="1"/>
    </xf>
    <xf numFmtId="0" fontId="24" fillId="0" borderId="0" applyProtection="0">
      <alignment vertical="center"/>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95" fillId="10" borderId="0"/>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83"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0" fontId="83"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49" fontId="9" fillId="0" borderId="1">
      <alignment horizontal="center"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109"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36" fillId="0" borderId="0">
      <alignment vertical="center"/>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0" fontId="22" fillId="0" borderId="0">
      <alignment vertical="center"/>
    </xf>
    <xf numFmtId="49" fontId="22" fillId="0" borderId="5" applyProtection="0">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0" borderId="0">
      <alignment vertical="center"/>
    </xf>
    <xf numFmtId="49" fontId="22" fillId="0" borderId="5" applyProtection="0">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0" fontId="22" fillId="0" borderId="0">
      <alignment vertical="center"/>
    </xf>
    <xf numFmtId="49" fontId="22" fillId="0" borderId="5" applyProtection="0">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109" fillId="0" borderId="0">
      <alignment vertical="center"/>
    </xf>
    <xf numFmtId="0" fontId="109" fillId="0" borderId="0">
      <alignment vertical="center"/>
    </xf>
    <xf numFmtId="0" fontId="83" fillId="0" borderId="0"/>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67" fillId="21" borderId="0"/>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67" fillId="21" borderId="0"/>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67" fillId="21" borderId="0"/>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pplyProtection="0">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0" fontId="109" fillId="0" borderId="0">
      <alignment vertical="center"/>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22" fillId="0" borderId="5">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22"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0" fontId="67" fillId="21" borderId="0"/>
    <xf numFmtId="49" fontId="5" fillId="0" borderId="5">
      <alignment horizontal="center" vertical="center" wrapText="1"/>
    </xf>
    <xf numFmtId="49" fontId="5" fillId="0" borderId="5">
      <alignment horizontal="center" vertical="center" wrapText="1"/>
    </xf>
    <xf numFmtId="0" fontId="67" fillId="21" borderId="0"/>
    <xf numFmtId="49" fontId="5" fillId="0" borderId="5">
      <alignment horizontal="center" vertical="center" wrapText="1"/>
    </xf>
    <xf numFmtId="49" fontId="5" fillId="0" borderId="5">
      <alignment horizontal="center" vertical="center" wrapText="1"/>
    </xf>
    <xf numFmtId="0" fontId="67" fillId="21" borderId="0"/>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0" fontId="67" fillId="21" borderId="0"/>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pplyProtection="0">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5" fillId="0" borderId="5">
      <alignment horizontal="center" vertical="center" wrapText="1"/>
    </xf>
    <xf numFmtId="49" fontId="12" fillId="0" borderId="2">
      <alignment horizontal="center" vertical="center" wrapText="1"/>
    </xf>
    <xf numFmtId="49" fontId="12" fillId="0" borderId="2" applyProtection="0">
      <alignment horizontal="center" vertical="center" wrapText="1"/>
    </xf>
    <xf numFmtId="49" fontId="9" fillId="0" borderId="1">
      <alignment horizontal="center"/>
    </xf>
    <xf numFmtId="49" fontId="9" fillId="0" borderId="1">
      <alignment horizontal="center" vertical="center"/>
    </xf>
    <xf numFmtId="49" fontId="9" fillId="0" borderId="1">
      <alignment horizontal="center" vertical="center"/>
    </xf>
    <xf numFmtId="49" fontId="9" fillId="0" borderId="1">
      <alignment horizontal="center" vertical="center"/>
    </xf>
    <xf numFmtId="49" fontId="9" fillId="0" borderId="1">
      <alignment horizontal="center" vertical="center"/>
    </xf>
    <xf numFmtId="49" fontId="9" fillId="0" borderId="1">
      <alignment horizontal="center" vertical="center"/>
    </xf>
    <xf numFmtId="49" fontId="9" fillId="0" borderId="1">
      <alignment horizontal="center"/>
    </xf>
    <xf numFmtId="49" fontId="9" fillId="0" borderId="1">
      <alignment horizontal="center"/>
    </xf>
    <xf numFmtId="49" fontId="9" fillId="0" borderId="1" applyProtection="0">
      <alignment horizontal="center"/>
    </xf>
    <xf numFmtId="49" fontId="9" fillId="0" borderId="1">
      <alignment horizontal="center"/>
    </xf>
    <xf numFmtId="49" fontId="9" fillId="0" borderId="1">
      <alignment horizontal="center"/>
    </xf>
    <xf numFmtId="49" fontId="9" fillId="0" borderId="1">
      <alignment horizontal="center" vertical="center"/>
    </xf>
    <xf numFmtId="49" fontId="9" fillId="0" borderId="1">
      <alignment horizontal="center" vertical="center"/>
    </xf>
    <xf numFmtId="49" fontId="9" fillId="0" borderId="1">
      <alignment horizontal="center" vertical="center"/>
    </xf>
    <xf numFmtId="49" fontId="9" fillId="0" borderId="1">
      <alignment horizontal="center" vertical="center"/>
    </xf>
    <xf numFmtId="49" fontId="9" fillId="0" borderId="1">
      <alignment horizontal="center" vertical="center"/>
    </xf>
    <xf numFmtId="49" fontId="9" fillId="0" borderId="1">
      <alignment horizontal="center" vertical="center"/>
    </xf>
    <xf numFmtId="0" fontId="82" fillId="0" borderId="12" applyNumberFormat="0" applyFill="0" applyProtection="0">
      <alignment horizontal="center"/>
    </xf>
    <xf numFmtId="0" fontId="82" fillId="0" borderId="12" applyNumberFormat="0" applyFill="0" applyProtection="0">
      <alignment horizontal="center"/>
    </xf>
    <xf numFmtId="0" fontId="82" fillId="0" borderId="12" applyNumberFormat="0" applyFill="0" applyProtection="0">
      <alignment horizontal="center" vertical="center"/>
    </xf>
    <xf numFmtId="0" fontId="82" fillId="0" borderId="12" applyNumberFormat="0" applyFill="0" applyProtection="0">
      <alignment horizontal="center" vertical="center"/>
    </xf>
    <xf numFmtId="0" fontId="82" fillId="0" borderId="12" applyNumberFormat="0" applyFill="0" applyProtection="0">
      <alignment horizontal="center" vertical="center"/>
    </xf>
    <xf numFmtId="0" fontId="82" fillId="0" borderId="12" applyNumberFormat="0" applyFill="0" applyProtection="0">
      <alignment horizontal="center"/>
    </xf>
    <xf numFmtId="0" fontId="82" fillId="0" borderId="12">
      <alignment horizontal="center"/>
    </xf>
    <xf numFmtId="0" fontId="82" fillId="0" borderId="12" applyNumberFormat="0" applyFill="0" applyProtection="0">
      <alignment horizontal="center" vertical="center"/>
    </xf>
    <xf numFmtId="0" fontId="82" fillId="0" borderId="12" applyNumberFormat="0" applyFill="0" applyProtection="0">
      <alignment horizontal="center" vertical="center"/>
    </xf>
    <xf numFmtId="0" fontId="82" fillId="0" borderId="12" applyNumberFormat="0" applyFill="0" applyProtection="0">
      <alignment horizontal="center"/>
    </xf>
    <xf numFmtId="0" fontId="82" fillId="0" borderId="12">
      <alignment horizontal="center"/>
    </xf>
    <xf numFmtId="0" fontId="82" fillId="0" borderId="12" applyNumberFormat="0" applyFill="0" applyProtection="0">
      <alignment horizontal="center"/>
    </xf>
    <xf numFmtId="0" fontId="82" fillId="0" borderId="12">
      <alignment horizontal="center"/>
    </xf>
    <xf numFmtId="0" fontId="82" fillId="0" borderId="12" applyNumberFormat="0" applyFill="0" applyProtection="0">
      <alignment horizontal="center"/>
    </xf>
    <xf numFmtId="0" fontId="82" fillId="0" borderId="12" applyNumberFormat="0" applyFill="0" applyProtection="0">
      <alignment horizontal="center" vertical="center"/>
    </xf>
    <xf numFmtId="0" fontId="82" fillId="0" borderId="12" applyNumberFormat="0" applyFill="0" applyProtection="0">
      <alignment horizontal="center" vertical="center"/>
    </xf>
    <xf numFmtId="0" fontId="82" fillId="0" borderId="12">
      <alignment horizontal="center" vertic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pplyNumberFormat="0" applyFill="0" applyProtection="0">
      <alignment horizontal="center" vertical="center"/>
    </xf>
    <xf numFmtId="0" fontId="82" fillId="0" borderId="12" applyNumberFormat="0" applyFill="0" applyProtection="0">
      <alignment horizontal="center"/>
    </xf>
    <xf numFmtId="0" fontId="82" fillId="0" borderId="12" applyNumberFormat="0" applyFill="0" applyProtection="0">
      <alignment horizontal="center" vertical="center"/>
    </xf>
    <xf numFmtId="0" fontId="82" fillId="0" borderId="12" applyNumberFormat="0" applyFill="0" applyProtection="0">
      <alignment horizontal="center"/>
    </xf>
    <xf numFmtId="0" fontId="82" fillId="0" borderId="12">
      <alignment horizontal="center"/>
    </xf>
    <xf numFmtId="0" fontId="82" fillId="0" borderId="12" applyNumberFormat="0" applyFill="0" applyProtection="0">
      <alignment horizontal="center"/>
    </xf>
    <xf numFmtId="0" fontId="82" fillId="0" borderId="12" applyNumberFormat="0" applyFill="0" applyProtection="0">
      <alignment horizontal="center"/>
    </xf>
    <xf numFmtId="0" fontId="82" fillId="0" borderId="12" applyNumberFormat="0" applyFill="0" applyProtection="0">
      <alignment horizontal="center"/>
    </xf>
    <xf numFmtId="0" fontId="82" fillId="0" borderId="12" applyNumberFormat="0" applyFill="0" applyProtection="0">
      <alignment horizontal="center" vertical="center"/>
    </xf>
    <xf numFmtId="0" fontId="82" fillId="0" borderId="12" applyNumberFormat="0" applyFill="0" applyProtection="0">
      <alignment horizontal="center"/>
    </xf>
    <xf numFmtId="0" fontId="82" fillId="0" borderId="12" applyNumberFormat="0" applyFill="0" applyProtection="0">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lignment horizontal="center"/>
    </xf>
    <xf numFmtId="0" fontId="82" fillId="0" borderId="12" applyNumberFormat="0" applyFill="0" applyProtection="0">
      <alignment horizontal="center"/>
    </xf>
    <xf numFmtId="0" fontId="82" fillId="0" borderId="12" applyNumberFormat="0" applyFill="0" applyProtection="0">
      <alignment horizontal="center"/>
    </xf>
    <xf numFmtId="0" fontId="82" fillId="0" borderId="12" applyNumberFormat="0" applyFill="0" applyProtection="0">
      <alignment horizontal="center"/>
    </xf>
    <xf numFmtId="0" fontId="82" fillId="0" borderId="12">
      <alignment horizontal="center"/>
    </xf>
    <xf numFmtId="0" fontId="82" fillId="0" borderId="12" applyNumberFormat="0" applyFill="0" applyProtection="0">
      <alignment horizontal="center" vertical="center"/>
    </xf>
    <xf numFmtId="0" fontId="82" fillId="0" borderId="12" applyNumberFormat="0" applyFill="0" applyProtection="0">
      <alignment horizontal="center" vertical="center"/>
    </xf>
    <xf numFmtId="0" fontId="82" fillId="0" borderId="12" applyNumberFormat="0" applyFill="0" applyProtection="0">
      <alignment horizontal="center" vertical="center"/>
    </xf>
    <xf numFmtId="0" fontId="82" fillId="0" borderId="12" applyNumberFormat="0" applyFill="0" applyProtection="0">
      <alignment horizont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Protection="0">
      <alignment vertical="center"/>
    </xf>
    <xf numFmtId="0" fontId="95" fillId="10" borderId="0" applyNumberFormat="0" applyBorder="0" applyAlignment="0" applyProtection="0">
      <alignment vertical="center"/>
    </xf>
    <xf numFmtId="0" fontId="95" fillId="10" borderId="0" applyProtection="0">
      <alignment vertical="center"/>
    </xf>
    <xf numFmtId="0" fontId="95" fillId="10" borderId="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xf numFmtId="0" fontId="52" fillId="10" borderId="0" applyNumberFormat="0" applyBorder="0" applyAlignment="0" applyProtection="0">
      <alignment vertical="center"/>
    </xf>
    <xf numFmtId="0" fontId="52" fillId="10" borderId="0"/>
    <xf numFmtId="0" fontId="52" fillId="10" borderId="0" applyNumberFormat="0" applyBorder="0" applyAlignment="0" applyProtection="0">
      <alignment vertical="center"/>
    </xf>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Protection="0">
      <alignment vertical="center"/>
    </xf>
    <xf numFmtId="0" fontId="97" fillId="11" borderId="0" applyProtection="0">
      <alignment vertical="center"/>
    </xf>
    <xf numFmtId="0" fontId="95" fillId="10" borderId="0" applyNumberFormat="0" applyBorder="0" applyAlignment="0" applyProtection="0">
      <alignment vertical="center"/>
    </xf>
    <xf numFmtId="0" fontId="95" fillId="10" borderId="0">
      <alignment vertical="center"/>
    </xf>
    <xf numFmtId="0" fontId="95" fillId="10" borderId="0" applyProtection="0"/>
    <xf numFmtId="0" fontId="95" fillId="10" borderId="0"/>
    <xf numFmtId="0" fontId="95" fillId="10" borderId="0" applyNumberFormat="0" applyBorder="0" applyAlignment="0" applyProtection="0">
      <alignment vertical="center"/>
    </xf>
    <xf numFmtId="0" fontId="98" fillId="8" borderId="0" applyNumberFormat="0" applyBorder="0" applyAlignment="0" applyProtection="0">
      <alignment vertical="center"/>
    </xf>
    <xf numFmtId="0" fontId="98" fillId="8" borderId="0" applyNumberFormat="0" applyBorder="0" applyAlignment="0" applyProtection="0">
      <alignment vertical="center"/>
    </xf>
    <xf numFmtId="0" fontId="98" fillId="8"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Protection="0">
      <alignment vertical="center"/>
    </xf>
    <xf numFmtId="0" fontId="95" fillId="10" borderId="0" applyProtection="0">
      <alignment vertical="center"/>
    </xf>
    <xf numFmtId="0" fontId="95" fillId="10" borderId="0"/>
    <xf numFmtId="0" fontId="95" fillId="10" borderId="0" applyProtection="0">
      <alignment vertical="center"/>
    </xf>
    <xf numFmtId="0" fontId="95" fillId="10" borderId="0"/>
    <xf numFmtId="0" fontId="95" fillId="10" borderId="0"/>
    <xf numFmtId="0" fontId="95" fillId="10" borderId="0" applyProtection="0">
      <alignment vertical="center"/>
    </xf>
    <xf numFmtId="0" fontId="95" fillId="10" borderId="0"/>
    <xf numFmtId="0" fontId="95" fillId="10" borderId="0" applyProtection="0">
      <alignment vertical="center"/>
    </xf>
    <xf numFmtId="0" fontId="95" fillId="10" borderId="0" applyProtection="0">
      <alignment vertical="center"/>
    </xf>
    <xf numFmtId="0" fontId="95" fillId="10" borderId="0" applyProtection="0">
      <alignment vertical="center"/>
    </xf>
    <xf numFmtId="0" fontId="95" fillId="10" borderId="0" applyProtection="0"/>
    <xf numFmtId="0" fontId="95" fillId="10" borderId="0" applyProtection="0">
      <alignment vertical="center"/>
    </xf>
    <xf numFmtId="0" fontId="95" fillId="10" borderId="0" applyProtection="0"/>
    <xf numFmtId="0" fontId="95" fillId="10" borderId="0" applyProtection="0">
      <alignment vertical="center"/>
    </xf>
    <xf numFmtId="0" fontId="95" fillId="10" borderId="0" applyProtection="0"/>
    <xf numFmtId="0" fontId="95" fillId="10" borderId="0" applyProtection="0">
      <alignment vertical="center"/>
    </xf>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applyProtection="0"/>
    <xf numFmtId="0" fontId="95" fillId="10" borderId="0" applyProtection="0"/>
    <xf numFmtId="0" fontId="95" fillId="10" borderId="0" applyProtection="0"/>
    <xf numFmtId="0" fontId="95" fillId="10" borderId="0" applyProtection="0"/>
    <xf numFmtId="0" fontId="95" fillId="10" borderId="0" applyProtection="0"/>
    <xf numFmtId="0" fontId="95" fillId="10" borderId="0" applyProtection="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xf numFmtId="0" fontId="95" fillId="10" borderId="0" applyProtection="0">
      <alignment vertical="center"/>
    </xf>
    <xf numFmtId="0" fontId="95" fillId="10" borderId="0" applyProtection="0">
      <alignment vertical="center"/>
    </xf>
    <xf numFmtId="0" fontId="95" fillId="10" borderId="0" applyProtection="0">
      <alignment vertical="center"/>
    </xf>
    <xf numFmtId="0" fontId="95" fillId="10" borderId="0" applyProtection="0">
      <alignment vertical="center"/>
    </xf>
    <xf numFmtId="0" fontId="95" fillId="10" borderId="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95" fillId="10" borderId="0" applyNumberFormat="0" applyBorder="0" applyAlignment="0" applyProtection="0">
      <alignment vertical="center"/>
    </xf>
    <xf numFmtId="0" fontId="22" fillId="0" borderId="0">
      <alignment vertical="center"/>
    </xf>
    <xf numFmtId="0" fontId="22" fillId="0" borderId="0"/>
    <xf numFmtId="0" fontId="22" fillId="0" borderId="0" applyProtection="0">
      <alignment vertical="center"/>
    </xf>
    <xf numFmtId="0" fontId="22" fillId="0" borderId="0">
      <alignment vertical="center"/>
    </xf>
    <xf numFmtId="0" fontId="22" fillId="0" borderId="0">
      <alignment vertical="center"/>
    </xf>
    <xf numFmtId="0" fontId="24" fillId="0" borderId="0">
      <alignment vertical="center"/>
    </xf>
    <xf numFmtId="0" fontId="24" fillId="0" borderId="0">
      <alignment vertical="center"/>
    </xf>
    <xf numFmtId="197" fontId="22" fillId="0" borderId="0">
      <alignment vertical="center"/>
    </xf>
    <xf numFmtId="188" fontId="22" fillId="0" borderId="0">
      <alignment vertical="center"/>
    </xf>
    <xf numFmtId="188" fontId="22" fillId="0" borderId="0">
      <alignment vertical="center"/>
    </xf>
    <xf numFmtId="188" fontId="22" fillId="0" borderId="0">
      <alignment vertical="center"/>
    </xf>
    <xf numFmtId="0" fontId="22" fillId="0" borderId="0"/>
    <xf numFmtId="0" fontId="22" fillId="0" borderId="0"/>
    <xf numFmtId="0" fontId="22" fillId="0" borderId="0"/>
    <xf numFmtId="0" fontId="24" fillId="0" borderId="0">
      <alignment vertical="center"/>
    </xf>
    <xf numFmtId="177" fontId="22" fillId="0" borderId="0">
      <alignment vertical="center"/>
    </xf>
    <xf numFmtId="0" fontId="22" fillId="0" borderId="0"/>
    <xf numFmtId="0" fontId="79" fillId="0" borderId="0"/>
    <xf numFmtId="0" fontId="22" fillId="0" borderId="0"/>
    <xf numFmtId="0" fontId="79" fillId="0" borderId="0"/>
    <xf numFmtId="0" fontId="22" fillId="0" borderId="0"/>
    <xf numFmtId="0" fontId="109" fillId="0" borderId="0">
      <alignment vertical="center"/>
    </xf>
    <xf numFmtId="0" fontId="22" fillId="0" borderId="0"/>
    <xf numFmtId="0" fontId="79" fillId="0" borderId="0"/>
    <xf numFmtId="0" fontId="22" fillId="0" borderId="0">
      <alignment vertical="center"/>
    </xf>
    <xf numFmtId="0" fontId="79" fillId="0" borderId="0"/>
    <xf numFmtId="0" fontId="2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2" fillId="0" borderId="0">
      <alignment vertical="center"/>
    </xf>
    <xf numFmtId="0" fontId="22" fillId="0" borderId="0"/>
    <xf numFmtId="0" fontId="22" fillId="0" borderId="0" applyProtection="0">
      <alignment vertical="center"/>
    </xf>
    <xf numFmtId="0" fontId="22" fillId="0" borderId="0">
      <alignment vertical="center"/>
    </xf>
    <xf numFmtId="0" fontId="24" fillId="0" borderId="0">
      <alignment vertical="center"/>
    </xf>
    <xf numFmtId="0" fontId="24" fillId="0" borderId="0">
      <alignment vertical="center"/>
    </xf>
    <xf numFmtId="0" fontId="22" fillId="0" borderId="0"/>
    <xf numFmtId="0" fontId="22" fillId="0" borderId="0"/>
    <xf numFmtId="0" fontId="22" fillId="0" borderId="0"/>
    <xf numFmtId="0" fontId="79" fillId="0" borderId="0"/>
    <xf numFmtId="0" fontId="79" fillId="0" borderId="0"/>
    <xf numFmtId="0" fontId="79" fillId="0" borderId="0"/>
    <xf numFmtId="0" fontId="79" fillId="0" borderId="0"/>
    <xf numFmtId="0" fontId="79" fillId="0" borderId="0"/>
    <xf numFmtId="49" fontId="5" fillId="0" borderId="5">
      <alignment vertical="center" wrapText="1"/>
    </xf>
    <xf numFmtId="49" fontId="5" fillId="0" borderId="5">
      <alignment vertical="center" wrapText="1"/>
    </xf>
    <xf numFmtId="0" fontId="22" fillId="0" borderId="0">
      <alignment vertical="center"/>
    </xf>
    <xf numFmtId="0" fontId="22" fillId="0" borderId="0">
      <alignment vertical="center"/>
    </xf>
    <xf numFmtId="0" fontId="83" fillId="0" borderId="0">
      <alignment vertical="center"/>
    </xf>
    <xf numFmtId="0" fontId="83" fillId="0" borderId="0">
      <alignment vertical="center"/>
    </xf>
    <xf numFmtId="0" fontId="22" fillId="0" borderId="0">
      <alignment vertical="center"/>
    </xf>
    <xf numFmtId="0" fontId="22" fillId="0" borderId="0">
      <alignment vertical="center"/>
    </xf>
    <xf numFmtId="0" fontId="83" fillId="0" borderId="0">
      <alignment vertical="center"/>
    </xf>
    <xf numFmtId="0" fontId="24" fillId="0" borderId="0">
      <alignment vertical="center"/>
    </xf>
    <xf numFmtId="0" fontId="22" fillId="0" borderId="0"/>
    <xf numFmtId="0" fontId="22"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alignment vertical="center"/>
    </xf>
    <xf numFmtId="0" fontId="83" fillId="0" borderId="0">
      <alignment vertical="center"/>
    </xf>
    <xf numFmtId="0" fontId="83"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4" fillId="0" borderId="0">
      <alignment vertical="center"/>
    </xf>
    <xf numFmtId="0" fontId="109" fillId="0" borderId="0">
      <alignment vertical="center"/>
    </xf>
    <xf numFmtId="0" fontId="24" fillId="0" borderId="0">
      <alignment vertical="center"/>
    </xf>
    <xf numFmtId="0" fontId="22" fillId="0" borderId="0">
      <alignment vertical="center"/>
    </xf>
    <xf numFmtId="0" fontId="24" fillId="0" borderId="0">
      <alignment vertical="center"/>
    </xf>
    <xf numFmtId="0" fontId="109"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49" fontId="5" fillId="0" borderId="5">
      <alignment vertical="center" wrapText="1"/>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0" fontId="109" fillId="0" borderId="0">
      <alignment vertical="center"/>
    </xf>
    <xf numFmtId="0" fontId="24"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67" fillId="21" borderId="0" applyProtection="0">
      <alignment vertical="center"/>
    </xf>
    <xf numFmtId="0" fontId="109" fillId="0" borderId="0">
      <alignment vertical="center"/>
    </xf>
    <xf numFmtId="0" fontId="109" fillId="0" borderId="0">
      <alignment vertical="center"/>
    </xf>
    <xf numFmtId="0" fontId="109" fillId="0" borderId="0">
      <alignment vertical="center"/>
    </xf>
    <xf numFmtId="0" fontId="67" fillId="21" borderId="0" applyProtection="0">
      <alignment vertical="center"/>
    </xf>
    <xf numFmtId="0" fontId="109" fillId="0" borderId="0">
      <alignment vertical="center"/>
    </xf>
    <xf numFmtId="0" fontId="109" fillId="0" borderId="0">
      <alignment vertical="center"/>
    </xf>
    <xf numFmtId="0" fontId="109" fillId="0" borderId="0">
      <alignment vertical="center"/>
    </xf>
    <xf numFmtId="0" fontId="67" fillId="21"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center"/>
    </xf>
    <xf numFmtId="0" fontId="67" fillId="21"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center"/>
    </xf>
    <xf numFmtId="0" fontId="67" fillId="21"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center"/>
    </xf>
    <xf numFmtId="0" fontId="67" fillId="21"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24"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22" fillId="0" borderId="0"/>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187" fontId="22" fillId="0" borderId="0" applyProtection="0">
      <alignment vertical="center"/>
    </xf>
    <xf numFmtId="0" fontId="109" fillId="0" borderId="0">
      <alignment vertical="center"/>
    </xf>
    <xf numFmtId="194" fontId="24" fillId="0" borderId="0" applyFont="0" applyFill="0" applyBorder="0" applyAlignment="0" applyProtection="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49" fontId="5" fillId="0" borderId="5">
      <alignment vertical="center" wrapText="1"/>
    </xf>
    <xf numFmtId="0" fontId="109" fillId="0" borderId="0">
      <alignment vertical="center"/>
    </xf>
    <xf numFmtId="49" fontId="5" fillId="0" borderId="5">
      <alignment vertical="center" wrapText="1"/>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49" fontId="5" fillId="0" borderId="5">
      <alignment vertical="center" wrapText="1"/>
    </xf>
    <xf numFmtId="49" fontId="5" fillId="0" borderId="5">
      <alignment vertical="center" wrapText="1"/>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2" fillId="0" borderId="0" applyProtection="0">
      <alignment vertical="center"/>
    </xf>
    <xf numFmtId="0" fontId="24" fillId="0" borderId="0">
      <alignment vertical="center"/>
    </xf>
    <xf numFmtId="0" fontId="79" fillId="0" borderId="0"/>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xf numFmtId="0" fontId="22" fillId="0" borderId="0" applyProtection="0">
      <alignment vertical="center"/>
    </xf>
    <xf numFmtId="0" fontId="24" fillId="0" borderId="0">
      <alignment vertical="center"/>
    </xf>
    <xf numFmtId="0" fontId="22" fillId="0" borderId="0">
      <alignment vertical="center"/>
    </xf>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22" fillId="0" borderId="0">
      <alignment vertical="center"/>
    </xf>
    <xf numFmtId="0" fontId="22" fillId="0" borderId="0">
      <alignment vertical="center"/>
    </xf>
    <xf numFmtId="0" fontId="109" fillId="0" borderId="0">
      <alignment vertical="center"/>
    </xf>
    <xf numFmtId="0" fontId="22" fillId="0" borderId="0">
      <alignment vertical="center"/>
    </xf>
    <xf numFmtId="0" fontId="109" fillId="0" borderId="0">
      <alignment vertical="center"/>
    </xf>
    <xf numFmtId="0" fontId="24" fillId="0" borderId="0">
      <alignment vertical="center"/>
    </xf>
    <xf numFmtId="0" fontId="22" fillId="0" borderId="0">
      <alignment vertical="center"/>
    </xf>
    <xf numFmtId="0" fontId="22" fillId="0" borderId="0">
      <alignment vertical="center"/>
    </xf>
    <xf numFmtId="0" fontId="109" fillId="0" borderId="0">
      <alignment vertical="center"/>
    </xf>
    <xf numFmtId="0" fontId="22" fillId="0" borderId="0">
      <alignment vertical="center"/>
    </xf>
    <xf numFmtId="0" fontId="109" fillId="0" borderId="0">
      <alignment vertical="center"/>
    </xf>
    <xf numFmtId="0" fontId="24" fillId="0" borderId="0">
      <alignment vertical="center"/>
    </xf>
    <xf numFmtId="0" fontId="22" fillId="0" borderId="0">
      <alignment vertical="center"/>
    </xf>
    <xf numFmtId="0" fontId="22" fillId="0" borderId="0">
      <alignment vertical="center"/>
    </xf>
    <xf numFmtId="0" fontId="109" fillId="0" borderId="0">
      <alignment vertical="center"/>
    </xf>
    <xf numFmtId="0" fontId="22" fillId="0" borderId="0">
      <alignment vertical="center"/>
    </xf>
    <xf numFmtId="0" fontId="109" fillId="0" borderId="0">
      <alignment vertical="center"/>
    </xf>
    <xf numFmtId="0" fontId="24" fillId="0" borderId="0">
      <alignment vertical="center"/>
    </xf>
    <xf numFmtId="0" fontId="22" fillId="0" borderId="0">
      <alignment vertical="center"/>
    </xf>
    <xf numFmtId="0" fontId="22" fillId="0" borderId="0">
      <alignment vertical="center"/>
    </xf>
    <xf numFmtId="0" fontId="109" fillId="0" borderId="0">
      <alignment vertical="center"/>
    </xf>
    <xf numFmtId="0" fontId="22" fillId="0" borderId="0">
      <alignment vertical="center"/>
    </xf>
    <xf numFmtId="0" fontId="109" fillId="0" borderId="0">
      <alignment vertical="center"/>
    </xf>
    <xf numFmtId="0" fontId="24" fillId="0" borderId="0">
      <alignment vertical="center"/>
    </xf>
    <xf numFmtId="0" fontId="22"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6" fillId="0" borderId="0"/>
    <xf numFmtId="0" fontId="16" fillId="0" borderId="0">
      <alignment vertical="center"/>
    </xf>
    <xf numFmtId="0" fontId="109" fillId="0" borderId="0">
      <alignment vertical="center"/>
    </xf>
    <xf numFmtId="0" fontId="10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22" fillId="0" borderId="0"/>
    <xf numFmtId="0" fontId="22" fillId="0" borderId="0">
      <alignment vertical="center"/>
    </xf>
    <xf numFmtId="0" fontId="22" fillId="0" borderId="0">
      <alignment vertical="center"/>
    </xf>
    <xf numFmtId="0" fontId="16" fillId="0" borderId="0"/>
    <xf numFmtId="0" fontId="16" fillId="0" borderId="0">
      <alignment vertical="center"/>
    </xf>
    <xf numFmtId="0" fontId="22" fillId="0" borderId="0">
      <alignment vertical="center"/>
    </xf>
    <xf numFmtId="0" fontId="22" fillId="0" borderId="0">
      <alignment vertical="center"/>
    </xf>
    <xf numFmtId="0" fontId="16" fillId="0" borderId="0">
      <alignment vertical="center"/>
    </xf>
    <xf numFmtId="0" fontId="22" fillId="0" borderId="0">
      <alignment vertical="center"/>
    </xf>
    <xf numFmtId="0" fontId="22" fillId="0" borderId="0">
      <alignment vertical="center"/>
    </xf>
    <xf numFmtId="0" fontId="16" fillId="0" borderId="0">
      <alignment vertical="center"/>
    </xf>
    <xf numFmtId="0" fontId="22" fillId="0" borderId="0">
      <alignment vertical="center"/>
    </xf>
    <xf numFmtId="0" fontId="22" fillId="0" borderId="0">
      <alignment vertical="center"/>
    </xf>
    <xf numFmtId="0" fontId="16" fillId="0" borderId="0">
      <alignment vertical="center"/>
    </xf>
    <xf numFmtId="0" fontId="22" fillId="0" borderId="0">
      <alignment vertical="center"/>
    </xf>
    <xf numFmtId="0" fontId="22" fillId="0" borderId="0">
      <alignment vertical="center"/>
    </xf>
    <xf numFmtId="0" fontId="16" fillId="0" borderId="0">
      <alignment vertical="center"/>
    </xf>
    <xf numFmtId="0" fontId="22" fillId="0" borderId="0">
      <alignment vertical="center"/>
    </xf>
    <xf numFmtId="0" fontId="22" fillId="0" borderId="0">
      <alignment vertical="center"/>
    </xf>
    <xf numFmtId="0" fontId="16" fillId="0" borderId="0">
      <alignment vertical="center"/>
    </xf>
    <xf numFmtId="0" fontId="109" fillId="0" borderId="0">
      <alignment vertical="center"/>
    </xf>
    <xf numFmtId="0" fontId="109" fillId="0" borderId="0">
      <alignment vertical="center"/>
    </xf>
    <xf numFmtId="0" fontId="16"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24" fillId="0" borderId="0" applyProtection="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24" fillId="0" borderId="0" applyProtection="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pplyProtection="0">
      <alignment vertical="center"/>
    </xf>
    <xf numFmtId="0" fontId="22" fillId="0" borderId="0">
      <alignment vertical="center"/>
    </xf>
    <xf numFmtId="0" fontId="22" fillId="0" borderId="0"/>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22" fillId="0" borderId="0" applyProtection="0">
      <alignment vertical="center"/>
    </xf>
    <xf numFmtId="0" fontId="22"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6" fillId="0" borderId="0" applyProtection="0"/>
    <xf numFmtId="0" fontId="24" fillId="0" borderId="0">
      <alignment vertical="center"/>
    </xf>
    <xf numFmtId="0" fontId="24" fillId="0" borderId="0">
      <alignment vertical="center"/>
    </xf>
    <xf numFmtId="0" fontId="24" fillId="0" borderId="0">
      <alignment vertical="center"/>
    </xf>
    <xf numFmtId="197"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xf numFmtId="0" fontId="109" fillId="0" borderId="0"/>
    <xf numFmtId="0" fontId="24" fillId="0" borderId="0">
      <alignment vertical="center"/>
    </xf>
    <xf numFmtId="0" fontId="24"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22"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9" fillId="0" borderId="0" applyProtection="0">
      <alignment vertical="top" wrapText="1"/>
    </xf>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22" fillId="0" borderId="0">
      <alignment vertical="center"/>
    </xf>
    <xf numFmtId="0" fontId="22" fillId="0" borderId="0">
      <alignment vertical="center"/>
    </xf>
    <xf numFmtId="0" fontId="24" fillId="0" borderId="0">
      <alignment vertical="center"/>
    </xf>
    <xf numFmtId="0" fontId="79" fillId="0" borderId="0"/>
    <xf numFmtId="0" fontId="24" fillId="0" borderId="0">
      <alignment vertical="center"/>
    </xf>
    <xf numFmtId="0" fontId="24" fillId="0" borderId="0">
      <alignment vertical="center"/>
    </xf>
    <xf numFmtId="0" fontId="79" fillId="0" borderId="0"/>
    <xf numFmtId="0" fontId="24" fillId="0" borderId="0">
      <alignment vertical="center"/>
    </xf>
    <xf numFmtId="0" fontId="109" fillId="0" borderId="0">
      <alignment vertical="center"/>
    </xf>
    <xf numFmtId="0" fontId="79" fillId="0" borderId="0"/>
    <xf numFmtId="0" fontId="22" fillId="0" borderId="0"/>
    <xf numFmtId="0" fontId="24" fillId="0" borderId="0">
      <alignment vertical="center"/>
    </xf>
    <xf numFmtId="0" fontId="22" fillId="0" borderId="0"/>
    <xf numFmtId="0" fontId="79" fillId="0" borderId="0"/>
    <xf numFmtId="0" fontId="24" fillId="0" borderId="0">
      <alignment vertical="center"/>
    </xf>
    <xf numFmtId="0" fontId="83" fillId="0" borderId="0"/>
    <xf numFmtId="0" fontId="109" fillId="0" borderId="0">
      <alignment vertical="center"/>
    </xf>
    <xf numFmtId="0" fontId="83" fillId="0" borderId="0"/>
    <xf numFmtId="0" fontId="109" fillId="0" borderId="0">
      <alignment vertical="center"/>
    </xf>
    <xf numFmtId="0" fontId="109" fillId="0" borderId="0">
      <alignment vertical="center"/>
    </xf>
    <xf numFmtId="197" fontId="24" fillId="0" borderId="0">
      <alignment vertical="center"/>
    </xf>
    <xf numFmtId="0" fontId="22" fillId="0" borderId="0">
      <alignment vertical="center"/>
    </xf>
    <xf numFmtId="188" fontId="24" fillId="0" borderId="0">
      <alignment vertical="center"/>
    </xf>
    <xf numFmtId="188" fontId="24" fillId="0" borderId="0">
      <alignment vertical="center"/>
    </xf>
    <xf numFmtId="188" fontId="24" fillId="0" borderId="0">
      <alignment vertical="center"/>
    </xf>
    <xf numFmtId="0" fontId="16" fillId="0" borderId="0"/>
    <xf numFmtId="0" fontId="22" fillId="0" borderId="0">
      <alignment vertical="center"/>
    </xf>
    <xf numFmtId="0" fontId="16" fillId="0" borderId="0" applyProtection="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16"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pplyProtection="0">
      <alignment vertical="center"/>
    </xf>
    <xf numFmtId="0" fontId="5" fillId="0" borderId="0"/>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pplyProtection="0"/>
    <xf numFmtId="0" fontId="22" fillId="0" borderId="0">
      <alignment vertical="center"/>
    </xf>
    <xf numFmtId="0" fontId="24" fillId="0" borderId="0">
      <alignment vertical="center"/>
    </xf>
    <xf numFmtId="0" fontId="22" fillId="0" borderId="0">
      <alignment vertical="center"/>
    </xf>
    <xf numFmtId="0" fontId="24" fillId="0" borderId="0">
      <alignment vertical="center"/>
    </xf>
    <xf numFmtId="0" fontId="109" fillId="0" borderId="0">
      <alignment vertical="center"/>
    </xf>
    <xf numFmtId="197"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9" fontId="5" fillId="0" borderId="5">
      <alignment vertical="center" wrapText="1"/>
    </xf>
    <xf numFmtId="0" fontId="22" fillId="0" borderId="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applyProtection="0">
      <alignment vertical="center"/>
    </xf>
    <xf numFmtId="0" fontId="22" fillId="0" borderId="0"/>
    <xf numFmtId="0" fontId="22" fillId="0" borderId="0">
      <alignment vertical="center"/>
    </xf>
    <xf numFmtId="0" fontId="22" fillId="0" borderId="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xf numFmtId="0" fontId="109" fillId="0" borderId="0">
      <alignment vertical="center"/>
    </xf>
    <xf numFmtId="0" fontId="109" fillId="0" borderId="0">
      <alignment vertical="center"/>
    </xf>
    <xf numFmtId="0" fontId="109" fillId="0" borderId="0">
      <alignment vertical="center"/>
    </xf>
    <xf numFmtId="0" fontId="22" fillId="0" borderId="0"/>
    <xf numFmtId="0" fontId="109" fillId="0" borderId="0">
      <alignment vertical="center"/>
    </xf>
    <xf numFmtId="0" fontId="109" fillId="0" borderId="0">
      <alignment vertical="center"/>
    </xf>
    <xf numFmtId="0" fontId="22" fillId="0" borderId="0"/>
    <xf numFmtId="0" fontId="22" fillId="0" borderId="0"/>
    <xf numFmtId="0" fontId="22" fillId="0" borderId="0"/>
    <xf numFmtId="0" fontId="109" fillId="0" borderId="0">
      <alignment vertical="center"/>
    </xf>
    <xf numFmtId="0" fontId="22" fillId="0" borderId="0"/>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79" fillId="0" borderId="0"/>
    <xf numFmtId="0" fontId="109" fillId="0" borderId="0">
      <alignment vertical="center"/>
    </xf>
    <xf numFmtId="177"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49" fontId="5" fillId="0" borderId="5">
      <alignment vertical="center" wrapText="1"/>
    </xf>
    <xf numFmtId="0" fontId="22" fillId="0" borderId="0"/>
    <xf numFmtId="0" fontId="24" fillId="0" borderId="0">
      <alignment vertical="center"/>
    </xf>
    <xf numFmtId="0" fontId="24"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109" fillId="0" borderId="0">
      <alignment vertical="center"/>
    </xf>
    <xf numFmtId="0" fontId="109" fillId="0" borderId="0">
      <alignment vertical="center"/>
    </xf>
    <xf numFmtId="0" fontId="24" fillId="0" borderId="0" applyProtection="0">
      <alignment vertical="center"/>
    </xf>
    <xf numFmtId="0" fontId="109" fillId="0" borderId="0">
      <alignment vertical="center"/>
    </xf>
    <xf numFmtId="0" fontId="109" fillId="0" borderId="0">
      <alignment vertical="center"/>
    </xf>
    <xf numFmtId="0" fontId="22" fillId="0" borderId="0">
      <alignment vertical="center"/>
    </xf>
    <xf numFmtId="0" fontId="22" fillId="0" borderId="0"/>
    <xf numFmtId="0" fontId="109" fillId="0" borderId="0">
      <alignment vertical="center"/>
    </xf>
    <xf numFmtId="0" fontId="48"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xf numFmtId="0" fontId="109" fillId="0" borderId="0">
      <alignment vertical="center"/>
    </xf>
    <xf numFmtId="0" fontId="22" fillId="0" borderId="0"/>
    <xf numFmtId="0" fontId="109" fillId="0" borderId="0">
      <alignment vertical="center"/>
    </xf>
    <xf numFmtId="0" fontId="109" fillId="0" borderId="0">
      <alignment vertical="center"/>
    </xf>
    <xf numFmtId="0" fontId="109" fillId="0" borderId="0">
      <alignment vertical="center"/>
    </xf>
    <xf numFmtId="0" fontId="22" fillId="0" borderId="0">
      <alignment vertical="center"/>
    </xf>
    <xf numFmtId="0" fontId="22" fillId="0" borderId="0">
      <alignment vertical="center"/>
    </xf>
    <xf numFmtId="0" fontId="22" fillId="0" borderId="0" applyProtection="0">
      <alignment vertical="center"/>
    </xf>
    <xf numFmtId="0" fontId="22" fillId="0" borderId="0">
      <alignment vertical="center"/>
    </xf>
    <xf numFmtId="0" fontId="22" fillId="0" borderId="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applyProtection="0">
      <alignment vertical="center"/>
    </xf>
    <xf numFmtId="0" fontId="109" fillId="0" borderId="0">
      <alignment vertical="center"/>
    </xf>
    <xf numFmtId="0" fontId="24" fillId="0" borderId="0">
      <alignment vertical="center"/>
    </xf>
    <xf numFmtId="0" fontId="109" fillId="0" borderId="0">
      <alignment vertical="center"/>
    </xf>
    <xf numFmtId="0" fontId="109" fillId="0" borderId="0">
      <alignment vertical="center"/>
    </xf>
    <xf numFmtId="0" fontId="109" fillId="0" borderId="0">
      <alignment vertical="center"/>
    </xf>
    <xf numFmtId="0" fontId="22" fillId="0" borderId="0"/>
    <xf numFmtId="0" fontId="109" fillId="0" borderId="0">
      <alignment vertical="center"/>
    </xf>
    <xf numFmtId="197" fontId="24" fillId="0" borderId="0"/>
    <xf numFmtId="0" fontId="109" fillId="0" borderId="0">
      <alignment vertical="center"/>
    </xf>
    <xf numFmtId="0" fontId="109" fillId="0" borderId="0"/>
    <xf numFmtId="0" fontId="109" fillId="0" borderId="0">
      <alignment vertical="center"/>
    </xf>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applyProtection="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09" fillId="0" borderId="0">
      <alignment vertical="center"/>
    </xf>
    <xf numFmtId="0" fontId="109" fillId="0" borderId="0">
      <alignment vertical="center"/>
    </xf>
    <xf numFmtId="0" fontId="109" fillId="0" borderId="0">
      <alignment vertical="center"/>
    </xf>
    <xf numFmtId="0" fontId="79" fillId="0" borderId="0"/>
    <xf numFmtId="0" fontId="79" fillId="0" borderId="0"/>
    <xf numFmtId="0" fontId="24" fillId="0" borderId="0">
      <alignment vertical="center"/>
    </xf>
    <xf numFmtId="0" fontId="24" fillId="0" borderId="0">
      <alignment vertical="center"/>
    </xf>
    <xf numFmtId="0" fontId="24"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79" fillId="0" borderId="0"/>
    <xf numFmtId="0" fontId="79" fillId="0" borderId="0"/>
    <xf numFmtId="0" fontId="79" fillId="0" borderId="0"/>
    <xf numFmtId="0" fontId="79" fillId="0" borderId="0"/>
    <xf numFmtId="0" fontId="79" fillId="0" borderId="0"/>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0" fontId="61" fillId="35" borderId="0" applyNumberFormat="0" applyBorder="0" applyAlignment="0" applyProtection="0">
      <alignment vertical="center"/>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28" fillId="0" borderId="34" applyNumberFormat="0" applyFill="0" applyAlignment="0" applyProtection="0">
      <alignment vertical="center"/>
    </xf>
    <xf numFmtId="49" fontId="5" fillId="0" borderId="5">
      <alignment vertical="center" wrapText="1"/>
    </xf>
    <xf numFmtId="49" fontId="5" fillId="0" borderId="5">
      <alignment vertical="center" wrapText="1"/>
    </xf>
    <xf numFmtId="0" fontId="28" fillId="0" borderId="34" applyNumberFormat="0" applyFill="0" applyAlignment="0" applyProtection="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36" fillId="0" borderId="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pplyProtection="0">
      <alignment vertical="center" wrapText="1"/>
    </xf>
    <xf numFmtId="49" fontId="5" fillId="0" borderId="5">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pplyProtection="0">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28" fillId="0" borderId="35" applyProtection="0">
      <alignment vertical="center"/>
    </xf>
    <xf numFmtId="49" fontId="5" fillId="0" borderId="5">
      <alignment vertical="center" wrapText="1"/>
    </xf>
    <xf numFmtId="0" fontId="28" fillId="0" borderId="35" applyProtection="0">
      <alignment vertical="center"/>
    </xf>
    <xf numFmtId="49" fontId="5" fillId="0" borderId="5">
      <alignment vertical="center" wrapText="1"/>
    </xf>
    <xf numFmtId="0" fontId="28" fillId="0" borderId="35" applyProtection="0">
      <alignment vertical="center"/>
    </xf>
    <xf numFmtId="49" fontId="5" fillId="0" borderId="5">
      <alignment vertical="center" wrapText="1"/>
    </xf>
    <xf numFmtId="0" fontId="28" fillId="0" borderId="35" applyProtection="0">
      <alignment vertical="center"/>
    </xf>
    <xf numFmtId="49" fontId="5" fillId="0" borderId="5">
      <alignment vertical="center" wrapText="1"/>
    </xf>
    <xf numFmtId="0" fontId="28" fillId="0" borderId="35" applyProtection="0">
      <alignment vertical="center"/>
    </xf>
    <xf numFmtId="49" fontId="5" fillId="0" borderId="5">
      <alignment vertical="center" wrapText="1"/>
    </xf>
    <xf numFmtId="0" fontId="28" fillId="0" borderId="35" applyProtection="0">
      <alignment vertical="center"/>
    </xf>
    <xf numFmtId="49" fontId="5" fillId="0" borderId="5">
      <alignment vertical="center" wrapText="1"/>
    </xf>
    <xf numFmtId="49" fontId="5" fillId="0" borderId="5">
      <alignment vertical="center" wrapText="1"/>
    </xf>
    <xf numFmtId="0" fontId="28" fillId="0" borderId="34" applyNumberFormat="0" applyFill="0" applyAlignment="0" applyProtection="0">
      <alignment vertical="center"/>
    </xf>
    <xf numFmtId="49" fontId="5" fillId="0" borderId="5">
      <alignment vertical="center" wrapText="1"/>
    </xf>
    <xf numFmtId="0" fontId="28" fillId="0" borderId="34" applyNumberFormat="0" applyFill="0" applyAlignment="0" applyProtection="0">
      <alignment vertical="center"/>
    </xf>
    <xf numFmtId="49" fontId="5" fillId="0" borderId="5">
      <alignment vertical="center" wrapText="1"/>
    </xf>
    <xf numFmtId="0" fontId="28" fillId="0" borderId="34" applyNumberFormat="0" applyFill="0" applyAlignment="0" applyProtection="0">
      <alignment vertical="center"/>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49" fontId="5" fillId="0" borderId="5">
      <alignment vertical="center" wrapText="1"/>
    </xf>
    <xf numFmtId="0" fontId="22" fillId="0" borderId="0">
      <alignment vertical="center"/>
    </xf>
    <xf numFmtId="0" fontId="22" fillId="0" borderId="0">
      <alignment vertical="center"/>
    </xf>
    <xf numFmtId="0" fontId="22" fillId="0" borderId="0">
      <alignment vertical="center"/>
    </xf>
    <xf numFmtId="0" fontId="83" fillId="0" borderId="0" applyProtection="0"/>
    <xf numFmtId="0" fontId="36" fillId="0" borderId="0">
      <alignment vertical="center"/>
    </xf>
    <xf numFmtId="0" fontId="48" fillId="0" borderId="0">
      <alignment vertical="center"/>
    </xf>
    <xf numFmtId="0" fontId="22" fillId="0" borderId="0" applyProtection="0">
      <alignment vertical="center"/>
    </xf>
    <xf numFmtId="0" fontId="22" fillId="0" borderId="0"/>
    <xf numFmtId="0" fontId="22" fillId="0" borderId="0">
      <alignment vertical="center"/>
    </xf>
    <xf numFmtId="0" fontId="36" fillId="0" borderId="0">
      <alignment vertical="center"/>
    </xf>
    <xf numFmtId="0" fontId="36" fillId="0" borderId="0">
      <alignment vertical="center"/>
    </xf>
    <xf numFmtId="0" fontId="36" fillId="0" borderId="0" applyProtection="0">
      <alignment vertical="center"/>
    </xf>
    <xf numFmtId="0" fontId="36" fillId="0" borderId="0" applyProtection="0">
      <alignment vertical="center"/>
    </xf>
    <xf numFmtId="0" fontId="22" fillId="0" borderId="0">
      <alignment vertical="center"/>
    </xf>
    <xf numFmtId="0" fontId="22" fillId="0" borderId="0">
      <alignment vertical="center"/>
    </xf>
    <xf numFmtId="0" fontId="36" fillId="0" borderId="0" applyProtection="0">
      <alignment vertical="center"/>
    </xf>
    <xf numFmtId="0" fontId="99" fillId="0" borderId="0" applyNumberFormat="0" applyFill="0" applyBorder="0" applyAlignment="0" applyProtection="0">
      <alignment vertical="top"/>
      <protection locked="0"/>
    </xf>
    <xf numFmtId="0" fontId="63" fillId="0" borderId="0" applyNumberFormat="0" applyFill="0" applyBorder="0" applyAlignment="0" applyProtection="0"/>
    <xf numFmtId="0" fontId="100" fillId="0" borderId="0" applyNumberFormat="0" applyFill="0" applyBorder="0" applyAlignment="0" applyProtection="0"/>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xf numFmtId="0" fontId="101" fillId="21" borderId="0" applyNumberFormat="0" applyBorder="0" applyAlignment="0" applyProtection="0">
      <alignment vertical="center"/>
    </xf>
    <xf numFmtId="0" fontId="101" fillId="21" borderId="0"/>
    <xf numFmtId="0" fontId="101" fillId="21" borderId="0"/>
    <xf numFmtId="0" fontId="101" fillId="21" borderId="0" applyNumberFormat="0" applyBorder="0" applyAlignment="0" applyProtection="0">
      <alignment vertical="center"/>
    </xf>
    <xf numFmtId="0" fontId="101" fillId="21" borderId="0"/>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2" fillId="23" borderId="33" applyNumberFormat="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NumberFormat="0" applyBorder="0" applyAlignment="0" applyProtection="0">
      <alignment vertical="center"/>
    </xf>
    <xf numFmtId="0" fontId="101" fillId="21" borderId="0" applyProtection="0">
      <alignment vertical="center"/>
    </xf>
    <xf numFmtId="0" fontId="67" fillId="21" borderId="0" applyProtection="0">
      <alignment vertical="center"/>
    </xf>
    <xf numFmtId="0" fontId="67" fillId="21" borderId="0" applyNumberFormat="0" applyBorder="0" applyAlignment="0" applyProtection="0">
      <alignment vertical="center"/>
    </xf>
    <xf numFmtId="0" fontId="67" fillId="21" borderId="0">
      <alignment vertical="center"/>
    </xf>
    <xf numFmtId="0" fontId="67" fillId="21" borderId="0" applyProtection="0"/>
    <xf numFmtId="0" fontId="67" fillId="21" borderId="0"/>
    <xf numFmtId="0" fontId="67" fillId="21" borderId="0"/>
    <xf numFmtId="0" fontId="67" fillId="21" borderId="0"/>
    <xf numFmtId="0" fontId="67" fillId="21" borderId="0"/>
    <xf numFmtId="0" fontId="67" fillId="21" borderId="0"/>
    <xf numFmtId="0" fontId="67" fillId="21" borderId="0"/>
    <xf numFmtId="0" fontId="67" fillId="21" borderId="0" applyProtection="0"/>
    <xf numFmtId="0" fontId="67" fillId="21"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Protection="0">
      <alignment vertical="center"/>
    </xf>
    <xf numFmtId="0" fontId="67" fillId="21" borderId="0" applyProtection="0">
      <alignment vertical="center"/>
    </xf>
    <xf numFmtId="0" fontId="67" fillId="21" borderId="0" applyProtection="0">
      <alignment vertical="center"/>
    </xf>
    <xf numFmtId="0" fontId="67" fillId="21" borderId="0" applyProtection="0">
      <alignment vertical="center"/>
    </xf>
    <xf numFmtId="0" fontId="67" fillId="21" borderId="0" applyProtection="0"/>
    <xf numFmtId="0" fontId="67" fillId="21" borderId="0" applyProtection="0">
      <alignment vertical="center"/>
    </xf>
    <xf numFmtId="0" fontId="67" fillId="21" borderId="0" applyProtection="0"/>
    <xf numFmtId="0" fontId="67" fillId="21" borderId="0" applyProtection="0">
      <alignment vertical="center"/>
    </xf>
    <xf numFmtId="0" fontId="67" fillId="21" borderId="0" applyProtection="0"/>
    <xf numFmtId="0" fontId="67" fillId="21" borderId="0" applyProtection="0">
      <alignment vertical="center"/>
    </xf>
    <xf numFmtId="0" fontId="67" fillId="21" borderId="0"/>
    <xf numFmtId="0" fontId="67" fillId="21" borderId="0"/>
    <xf numFmtId="0" fontId="67" fillId="21" borderId="0"/>
    <xf numFmtId="0" fontId="67" fillId="21" borderId="0"/>
    <xf numFmtId="0" fontId="67" fillId="21" borderId="0" applyProtection="0"/>
    <xf numFmtId="0" fontId="67" fillId="21" borderId="0" applyProtection="0"/>
    <xf numFmtId="0" fontId="67" fillId="21" borderId="0" applyProtection="0"/>
    <xf numFmtId="0" fontId="67" fillId="21" borderId="0" applyProtection="0"/>
    <xf numFmtId="0" fontId="67" fillId="21" borderId="0" applyProtection="0"/>
    <xf numFmtId="0" fontId="67" fillId="21" borderId="0" applyProtection="0"/>
    <xf numFmtId="0" fontId="67" fillId="21" borderId="0"/>
    <xf numFmtId="0" fontId="67" fillId="21" borderId="0"/>
    <xf numFmtId="0" fontId="67" fillId="21" borderId="0"/>
    <xf numFmtId="0" fontId="67" fillId="21" borderId="0"/>
    <xf numFmtId="0" fontId="67" fillId="21" borderId="0"/>
    <xf numFmtId="0" fontId="67" fillId="21" borderId="0" applyProtection="0">
      <alignment vertical="center"/>
    </xf>
    <xf numFmtId="0" fontId="67" fillId="21" borderId="0" applyProtection="0">
      <alignment vertical="center"/>
    </xf>
    <xf numFmtId="0" fontId="67" fillId="21" borderId="0" applyProtection="0">
      <alignment vertical="center"/>
    </xf>
    <xf numFmtId="0" fontId="67" fillId="21" borderId="0" applyProtection="0">
      <alignment vertical="center"/>
    </xf>
    <xf numFmtId="0" fontId="67" fillId="21" borderId="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5"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0" fontId="28" fillId="0" borderId="34" applyNumberFormat="0" applyFill="0" applyAlignment="0" applyProtection="0">
      <alignment vertical="center"/>
    </xf>
    <xf numFmtId="210" fontId="83" fillId="0" borderId="0"/>
    <xf numFmtId="187" fontId="22" fillId="0" borderId="0" applyProtection="0">
      <alignment vertical="center"/>
    </xf>
    <xf numFmtId="182" fontId="22" fillId="0" borderId="0" applyFont="0" applyFill="0" applyBorder="0" applyAlignment="0" applyProtection="0"/>
    <xf numFmtId="208" fontId="22" fillId="0" borderId="0" applyFont="0" applyFill="0" applyBorder="0" applyAlignment="0" applyProtection="0"/>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NumberFormat="0" applyAlignment="0"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3" borderId="37"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103" fillId="15" borderId="37" applyNumberFormat="0" applyAlignment="0"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102" fillId="23" borderId="33" applyNumberFormat="0" applyAlignment="0" applyProtection="0">
      <alignment vertical="center"/>
    </xf>
    <xf numFmtId="0" fontId="102" fillId="23" borderId="33" applyProtection="0">
      <alignment vertical="center"/>
    </xf>
    <xf numFmtId="0" fontId="102" fillId="23" borderId="33" applyProtection="0">
      <alignment vertical="center"/>
    </xf>
    <xf numFmtId="0" fontId="102" fillId="23" borderId="33"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68" fillId="23" borderId="33"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Protection="0">
      <alignment vertical="center"/>
    </xf>
    <xf numFmtId="0" fontId="104" fillId="0" borderId="0" applyNumberFormat="0" applyFill="0" applyBorder="0" applyAlignment="0" applyProtection="0">
      <alignment vertical="center"/>
    </xf>
    <xf numFmtId="0" fontId="104" fillId="0" borderId="0" applyProtection="0">
      <alignment vertical="center"/>
    </xf>
    <xf numFmtId="0" fontId="104" fillId="0" borderId="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2" fillId="0" borderId="12" applyNumberFormat="0" applyFill="0" applyProtection="0">
      <alignment horizontal="left"/>
    </xf>
    <xf numFmtId="0" fontId="82" fillId="0" borderId="12" applyNumberFormat="0" applyFill="0" applyProtection="0">
      <alignment horizontal="left"/>
    </xf>
    <xf numFmtId="0" fontId="82" fillId="0" borderId="12">
      <alignment horizontal="left"/>
    </xf>
    <xf numFmtId="0" fontId="82" fillId="0" borderId="12" applyNumberFormat="0" applyFill="0" applyProtection="0">
      <alignment horizontal="left"/>
    </xf>
    <xf numFmtId="0" fontId="82" fillId="0" borderId="12" applyNumberFormat="0" applyFill="0" applyProtection="0">
      <alignment horizontal="left" vertical="center"/>
    </xf>
    <xf numFmtId="0" fontId="82" fillId="0" borderId="12" applyNumberFormat="0" applyFill="0" applyProtection="0">
      <alignment horizontal="left" vertical="center"/>
    </xf>
    <xf numFmtId="0" fontId="82" fillId="0" borderId="12">
      <alignment horizontal="left" vertical="center"/>
    </xf>
    <xf numFmtId="0" fontId="82" fillId="0" borderId="12">
      <alignment horizontal="left"/>
    </xf>
    <xf numFmtId="0" fontId="82" fillId="0" borderId="12">
      <alignment horizontal="left"/>
    </xf>
    <xf numFmtId="0" fontId="84" fillId="14" borderId="37" applyProtection="0">
      <alignment vertical="center"/>
    </xf>
    <xf numFmtId="0" fontId="82" fillId="0" borderId="12">
      <alignment horizontal="left"/>
    </xf>
    <xf numFmtId="0" fontId="84" fillId="14" borderId="37" applyProtection="0">
      <alignment vertical="center"/>
    </xf>
    <xf numFmtId="0" fontId="82" fillId="0" borderId="12">
      <alignment horizontal="left"/>
    </xf>
    <xf numFmtId="0" fontId="84" fillId="14" borderId="37" applyProtection="0">
      <alignment vertical="center"/>
    </xf>
    <xf numFmtId="0" fontId="82" fillId="0" borderId="12">
      <alignment horizontal="left"/>
    </xf>
    <xf numFmtId="0" fontId="84" fillId="14" borderId="37" applyProtection="0">
      <alignment vertical="center"/>
    </xf>
    <xf numFmtId="0" fontId="82" fillId="0" borderId="12">
      <alignment horizontal="left"/>
    </xf>
    <xf numFmtId="0" fontId="82" fillId="0" borderId="12">
      <alignment horizontal="left"/>
    </xf>
    <xf numFmtId="0" fontId="82" fillId="0" borderId="12">
      <alignment horizontal="left"/>
    </xf>
    <xf numFmtId="0" fontId="82" fillId="0" borderId="12">
      <alignment horizontal="left"/>
    </xf>
    <xf numFmtId="0" fontId="82" fillId="0" borderId="12" applyNumberFormat="0" applyFill="0" applyProtection="0">
      <alignment horizontal="left" vertical="center"/>
    </xf>
    <xf numFmtId="0" fontId="82" fillId="0" borderId="12" applyNumberFormat="0" applyFill="0" applyProtection="0">
      <alignment horizontal="left"/>
    </xf>
    <xf numFmtId="0" fontId="82" fillId="0" borderId="12" applyNumberFormat="0" applyFill="0" applyProtection="0">
      <alignment horizontal="left" vertical="center"/>
    </xf>
    <xf numFmtId="0" fontId="82" fillId="0" borderId="12" applyNumberFormat="0" applyFill="0" applyProtection="0">
      <alignment horizontal="left"/>
    </xf>
    <xf numFmtId="0" fontId="82" fillId="0" borderId="12">
      <alignment horizontal="left"/>
    </xf>
    <xf numFmtId="0" fontId="82" fillId="0" borderId="12" applyNumberFormat="0" applyFill="0" applyProtection="0">
      <alignment horizontal="left"/>
    </xf>
    <xf numFmtId="0" fontId="82" fillId="0" borderId="12" applyNumberFormat="0" applyFill="0" applyProtection="0">
      <alignment horizontal="left"/>
    </xf>
    <xf numFmtId="0" fontId="82" fillId="0" borderId="12" applyNumberFormat="0" applyFill="0" applyProtection="0">
      <alignment horizontal="left"/>
    </xf>
    <xf numFmtId="0" fontId="82" fillId="0" borderId="12" applyNumberFormat="0" applyFill="0" applyProtection="0">
      <alignment horizontal="left" vertical="center"/>
    </xf>
    <xf numFmtId="0" fontId="82" fillId="0" borderId="12" applyNumberFormat="0" applyFill="0" applyProtection="0">
      <alignment horizontal="left"/>
    </xf>
    <xf numFmtId="0" fontId="82" fillId="0" borderId="12" applyNumberFormat="0" applyFill="0" applyProtection="0">
      <alignment horizontal="left"/>
    </xf>
    <xf numFmtId="0" fontId="82" fillId="0" borderId="12">
      <alignment horizontal="left"/>
    </xf>
    <xf numFmtId="0" fontId="82" fillId="0" borderId="12">
      <alignment horizontal="left"/>
    </xf>
    <xf numFmtId="0" fontId="84" fillId="14" borderId="37" applyProtection="0">
      <alignment vertical="center"/>
    </xf>
    <xf numFmtId="0" fontId="82" fillId="0" borderId="12">
      <alignment horizontal="left"/>
    </xf>
    <xf numFmtId="0" fontId="84" fillId="14" borderId="37" applyProtection="0">
      <alignment vertical="center"/>
    </xf>
    <xf numFmtId="0" fontId="82" fillId="0" borderId="12">
      <alignment horizontal="left"/>
    </xf>
    <xf numFmtId="0" fontId="84" fillId="14" borderId="37" applyProtection="0">
      <alignment vertical="center"/>
    </xf>
    <xf numFmtId="0" fontId="82" fillId="0" borderId="12">
      <alignment horizontal="left"/>
    </xf>
    <xf numFmtId="0" fontId="82" fillId="0" borderId="12">
      <alignment horizontal="left"/>
    </xf>
    <xf numFmtId="0" fontId="82" fillId="0" borderId="12">
      <alignment horizontal="left"/>
    </xf>
    <xf numFmtId="0" fontId="82" fillId="0" borderId="12">
      <alignment horizontal="left"/>
    </xf>
    <xf numFmtId="0" fontId="82" fillId="0" borderId="12">
      <alignment horizontal="left"/>
    </xf>
    <xf numFmtId="0" fontId="82" fillId="0" borderId="12" applyNumberFormat="0" applyFill="0" applyProtection="0">
      <alignment horizontal="left"/>
    </xf>
    <xf numFmtId="0" fontId="82" fillId="0" borderId="12" applyNumberFormat="0" applyFill="0" applyProtection="0">
      <alignment horizontal="left"/>
    </xf>
    <xf numFmtId="0" fontId="82" fillId="0" borderId="12" applyNumberFormat="0" applyFill="0" applyProtection="0">
      <alignment horizontal="left"/>
    </xf>
    <xf numFmtId="0" fontId="82" fillId="0" borderId="12">
      <alignment horizontal="left"/>
    </xf>
    <xf numFmtId="0" fontId="82" fillId="0" borderId="12" applyNumberFormat="0" applyFill="0" applyProtection="0">
      <alignment horizontal="left" vertical="center"/>
    </xf>
    <xf numFmtId="0" fontId="82" fillId="0" borderId="12" applyNumberFormat="0" applyFill="0" applyProtection="0">
      <alignment horizontal="left" vertical="center"/>
    </xf>
    <xf numFmtId="0" fontId="82" fillId="0" borderId="12" applyNumberFormat="0" applyFill="0" applyProtection="0">
      <alignment horizontal="left" vertical="center"/>
    </xf>
    <xf numFmtId="0" fontId="82" fillId="0" borderId="12" applyNumberFormat="0" applyFill="0" applyProtection="0">
      <alignment horizontal="left"/>
    </xf>
    <xf numFmtId="0" fontId="82" fillId="0" borderId="12" applyNumberFormat="0" applyFill="0" applyProtection="0">
      <alignment horizontal="left"/>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Protection="0">
      <alignment vertical="center"/>
    </xf>
    <xf numFmtId="0" fontId="105" fillId="0" borderId="0" applyNumberFormat="0" applyFill="0" applyBorder="0" applyAlignment="0" applyProtection="0">
      <alignment vertical="center"/>
    </xf>
    <xf numFmtId="0" fontId="105" fillId="0" borderId="0" applyProtection="0">
      <alignment vertical="center"/>
    </xf>
    <xf numFmtId="0" fontId="105" fillId="0" borderId="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Protection="0">
      <alignment vertical="center"/>
    </xf>
    <xf numFmtId="0" fontId="106" fillId="0" borderId="41" applyNumberFormat="0" applyFill="0" applyAlignment="0" applyProtection="0">
      <alignment vertical="center"/>
    </xf>
    <xf numFmtId="0" fontId="106" fillId="0" borderId="41" applyProtection="0">
      <alignment vertical="center"/>
    </xf>
    <xf numFmtId="0" fontId="106" fillId="0" borderId="41"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106" fillId="0" borderId="41" applyNumberFormat="0" applyFill="0" applyAlignment="0" applyProtection="0">
      <alignment vertical="center"/>
    </xf>
    <xf numFmtId="0" fontId="22" fillId="0" borderId="0"/>
    <xf numFmtId="0" fontId="83" fillId="0" borderId="0" applyProtection="0">
      <alignment vertical="center"/>
    </xf>
    <xf numFmtId="0" fontId="83" fillId="0" borderId="0" applyProtection="0"/>
    <xf numFmtId="0" fontId="83" fillId="0" borderId="0">
      <alignment vertical="center"/>
    </xf>
    <xf numFmtId="200" fontId="22" fillId="0" borderId="0" applyFont="0" applyFill="0" applyBorder="0" applyAlignment="0" applyProtection="0"/>
    <xf numFmtId="209"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2" fillId="0" borderId="0" applyFont="0" applyFill="0" applyBorder="0" applyAlignment="0" applyProtection="0">
      <alignment vertical="center"/>
    </xf>
    <xf numFmtId="209" fontId="22" fillId="0" borderId="0" applyFont="0" applyFill="0" applyBorder="0" applyAlignment="0" applyProtection="0">
      <alignment vertical="center"/>
    </xf>
    <xf numFmtId="209" fontId="24" fillId="0" borderId="0" applyFont="0" applyFill="0" applyBorder="0" applyAlignment="0" applyProtection="0">
      <alignment vertical="center"/>
    </xf>
    <xf numFmtId="209" fontId="22" fillId="0" borderId="0" applyFont="0" applyFill="0" applyBorder="0" applyAlignment="0" applyProtection="0">
      <alignment vertical="center"/>
    </xf>
    <xf numFmtId="209" fontId="22" fillId="0" borderId="0"/>
    <xf numFmtId="43" fontId="24" fillId="0" borderId="0">
      <alignment vertical="center"/>
    </xf>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4" fillId="0" borderId="0" applyFont="0" applyFill="0" applyBorder="0" applyAlignment="0" applyProtection="0">
      <alignment vertical="center"/>
    </xf>
    <xf numFmtId="209" fontId="22" fillId="0" borderId="0"/>
    <xf numFmtId="209" fontId="24" fillId="0" borderId="0" applyFont="0" applyFill="0" applyBorder="0" applyAlignment="0" applyProtection="0">
      <alignment vertical="center"/>
    </xf>
    <xf numFmtId="209" fontId="22" fillId="0" borderId="0"/>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43" fontId="22" fillId="0" borderId="0" applyFont="0" applyFill="0" applyBorder="0" applyAlignment="0" applyProtection="0">
      <alignment vertical="center"/>
    </xf>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109" fillId="0" borderId="0" applyFont="0" applyFill="0" applyBorder="0" applyAlignment="0" applyProtection="0">
      <alignment vertical="center"/>
    </xf>
    <xf numFmtId="209" fontId="22" fillId="0" borderId="0"/>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xf numFmtId="209" fontId="22" fillId="0" borderId="0" applyFont="0" applyFill="0" applyBorder="0" applyAlignment="0" applyProtection="0">
      <alignment vertical="center"/>
    </xf>
    <xf numFmtId="209" fontId="22"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24"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109" fillId="0" borderId="0" applyFont="0" applyFill="0" applyBorder="0" applyAlignment="0" applyProtection="0">
      <alignment vertical="center"/>
    </xf>
    <xf numFmtId="209" fontId="24" fillId="0" borderId="0" applyFont="0" applyFill="0" applyBorder="0" applyAlignment="0" applyProtection="0">
      <alignment vertical="center"/>
    </xf>
    <xf numFmtId="209" fontId="22" fillId="0" borderId="0" applyFont="0" applyFill="0" applyBorder="0" applyAlignment="0" applyProtection="0">
      <alignment vertical="center"/>
    </xf>
    <xf numFmtId="209" fontId="22" fillId="0" borderId="0" applyFont="0" applyFill="0" applyBorder="0" applyAlignment="0" applyProtection="0">
      <alignment vertical="center"/>
    </xf>
    <xf numFmtId="209" fontId="22" fillId="0" borderId="0" applyFont="0" applyFill="0" applyBorder="0" applyAlignment="0" applyProtection="0">
      <alignment vertical="center"/>
    </xf>
    <xf numFmtId="43" fontId="22" fillId="0" borderId="0" applyProtection="0">
      <alignment vertical="center"/>
    </xf>
    <xf numFmtId="43" fontId="22" fillId="0" borderId="0" applyProtection="0">
      <alignment vertical="center"/>
    </xf>
    <xf numFmtId="43" fontId="24"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xf numFmtId="43" fontId="22" fillId="0" borderId="0" applyFont="0" applyFill="0" applyBorder="0" applyAlignment="0" applyProtection="0">
      <alignment vertical="center"/>
    </xf>
    <xf numFmtId="43" fontId="22" fillId="0" borderId="0"/>
    <xf numFmtId="43" fontId="22" fillId="0" borderId="0"/>
    <xf numFmtId="43" fontId="22" fillId="0" borderId="0" applyFont="0" applyFill="0" applyBorder="0" applyAlignment="0" applyProtection="0">
      <alignment vertical="center"/>
    </xf>
    <xf numFmtId="43" fontId="22" fillId="0" borderId="0"/>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xf numFmtId="43" fontId="22" fillId="0" borderId="0" applyFont="0" applyFill="0" applyBorder="0" applyAlignment="0" applyProtection="0">
      <alignment vertical="center"/>
    </xf>
    <xf numFmtId="43" fontId="22" fillId="0" borderId="0" applyFont="0" applyFill="0" applyBorder="0" applyAlignment="0" applyProtection="0"/>
    <xf numFmtId="43" fontId="22" fillId="0" borderId="0" applyFont="0" applyFill="0" applyBorder="0" applyAlignment="0" applyProtection="0">
      <alignment vertical="center"/>
    </xf>
    <xf numFmtId="43" fontId="22" fillId="0" borderId="0" applyFont="0" applyFill="0" applyBorder="0" applyAlignment="0" applyProtection="0"/>
    <xf numFmtId="43" fontId="24" fillId="0" borderId="0">
      <alignment vertical="center"/>
    </xf>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alignment vertical="center"/>
    </xf>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109" fillId="0" borderId="0" applyFont="0" applyFill="0" applyBorder="0" applyAlignment="0" applyProtection="0">
      <alignment vertical="center"/>
    </xf>
    <xf numFmtId="200" fontId="22"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applyFont="0" applyFill="0" applyBorder="0" applyAlignment="0" applyProtection="0">
      <alignment vertical="center"/>
    </xf>
    <xf numFmtId="200" fontId="22"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applyFont="0" applyFill="0" applyBorder="0" applyAlignment="0" applyProtection="0">
      <alignment vertical="center"/>
    </xf>
    <xf numFmtId="200" fontId="22" fillId="0" borderId="0"/>
    <xf numFmtId="200" fontId="22" fillId="0" borderId="0" applyFont="0" applyFill="0" applyBorder="0" applyAlignment="0" applyProtection="0">
      <alignment vertical="center"/>
    </xf>
    <xf numFmtId="200" fontId="22" fillId="0" borderId="0"/>
    <xf numFmtId="200" fontId="22" fillId="0" borderId="0"/>
    <xf numFmtId="200" fontId="22" fillId="0" borderId="0"/>
    <xf numFmtId="200" fontId="22" fillId="0" borderId="0"/>
    <xf numFmtId="200" fontId="22" fillId="0" borderId="0"/>
    <xf numFmtId="200" fontId="22" fillId="0" borderId="0"/>
    <xf numFmtId="200" fontId="22" fillId="0" borderId="0"/>
    <xf numFmtId="200" fontId="22" fillId="0" borderId="0"/>
    <xf numFmtId="200" fontId="22" fillId="0" borderId="0"/>
    <xf numFmtId="200" fontId="24" fillId="0" borderId="0" applyFont="0" applyFill="0" applyBorder="0" applyAlignment="0" applyProtection="0">
      <alignment vertical="center"/>
    </xf>
    <xf numFmtId="200" fontId="22" fillId="0" borderId="0"/>
    <xf numFmtId="200" fontId="24" fillId="0" borderId="0" applyFont="0" applyFill="0" applyBorder="0" applyAlignment="0" applyProtection="0">
      <alignment vertical="center"/>
    </xf>
    <xf numFmtId="200" fontId="22" fillId="0" borderId="0"/>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applyFont="0" applyFill="0" applyBorder="0" applyAlignment="0" applyProtection="0">
      <alignment vertical="center"/>
    </xf>
    <xf numFmtId="200" fontId="109" fillId="0" borderId="0" applyFont="0" applyFill="0" applyBorder="0" applyAlignment="0" applyProtection="0">
      <alignment vertical="center"/>
    </xf>
    <xf numFmtId="200" fontId="22" fillId="0" borderId="0"/>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22" fillId="0" borderId="0"/>
    <xf numFmtId="200" fontId="22" fillId="0" borderId="0"/>
    <xf numFmtId="200" fontId="22" fillId="0" borderId="0"/>
    <xf numFmtId="200" fontId="22" fillId="0" borderId="0"/>
    <xf numFmtId="200" fontId="22" fillId="0" borderId="0"/>
    <xf numFmtId="200" fontId="22" fillId="0" borderId="0"/>
    <xf numFmtId="200" fontId="22" fillId="0" borderId="0"/>
    <xf numFmtId="200" fontId="22" fillId="0" borderId="0"/>
    <xf numFmtId="200" fontId="22"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xf numFmtId="200" fontId="22" fillId="0" borderId="0" applyFont="0" applyFill="0" applyBorder="0" applyAlignment="0" applyProtection="0">
      <alignment vertical="center"/>
    </xf>
    <xf numFmtId="200" fontId="22" fillId="0" borderId="0"/>
    <xf numFmtId="200" fontId="22"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applyFont="0" applyFill="0" applyBorder="0" applyAlignment="0" applyProtection="0">
      <alignment vertical="center"/>
    </xf>
    <xf numFmtId="200" fontId="22"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24"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109" fillId="0" borderId="0" applyFont="0" applyFill="0" applyBorder="0" applyAlignment="0" applyProtection="0">
      <alignment vertical="center"/>
    </xf>
    <xf numFmtId="200" fontId="24" fillId="0" borderId="0" applyFont="0" applyFill="0" applyBorder="0" applyAlignment="0" applyProtection="0">
      <alignment vertical="center"/>
    </xf>
    <xf numFmtId="200" fontId="22" fillId="0" borderId="0" applyFont="0" applyFill="0" applyBorder="0" applyAlignment="0" applyProtection="0">
      <alignment vertical="center"/>
    </xf>
    <xf numFmtId="200" fontId="22" fillId="0" borderId="0" applyFont="0" applyFill="0" applyBorder="0" applyAlignment="0" applyProtection="0">
      <alignment vertical="center"/>
    </xf>
    <xf numFmtId="200"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xf numFmtId="41" fontId="22" fillId="0" borderId="0" applyFont="0" applyFill="0" applyBorder="0" applyAlignment="0" applyProtection="0">
      <alignment vertical="center"/>
    </xf>
    <xf numFmtId="41" fontId="22" fillId="0" borderId="0"/>
    <xf numFmtId="41" fontId="22" fillId="0" borderId="0"/>
    <xf numFmtId="41" fontId="22" fillId="0" borderId="0" applyFont="0" applyFill="0" applyBorder="0" applyAlignment="0" applyProtection="0">
      <alignment vertical="center"/>
    </xf>
    <xf numFmtId="41" fontId="22" fillId="0" borderId="0"/>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alignment vertical="center"/>
    </xf>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Protection="0">
      <alignment vertical="center"/>
    </xf>
    <xf numFmtId="0" fontId="49" fillId="36" borderId="0" applyNumberFormat="0" applyBorder="0" applyAlignment="0" applyProtection="0">
      <alignment vertical="center"/>
    </xf>
    <xf numFmtId="0" fontId="49" fillId="36" borderId="0" applyProtection="0">
      <alignment vertical="center"/>
    </xf>
    <xf numFmtId="0" fontId="49" fillId="36" borderId="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Protection="0">
      <alignment vertical="center"/>
    </xf>
    <xf numFmtId="0" fontId="49" fillId="37" borderId="0" applyNumberFormat="0" applyBorder="0" applyAlignment="0" applyProtection="0">
      <alignment vertical="center"/>
    </xf>
    <xf numFmtId="0" fontId="49" fillId="37" borderId="0" applyProtection="0">
      <alignment vertical="center"/>
    </xf>
    <xf numFmtId="0" fontId="49" fillId="37" borderId="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7"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Protection="0">
      <alignment vertical="center"/>
    </xf>
    <xf numFmtId="0" fontId="49" fillId="35" borderId="0" applyNumberFormat="0" applyBorder="0" applyAlignment="0" applyProtection="0">
      <alignment vertical="center"/>
    </xf>
    <xf numFmtId="0" fontId="49" fillId="35" borderId="0" applyProtection="0">
      <alignment vertical="center"/>
    </xf>
    <xf numFmtId="0" fontId="49" fillId="35" borderId="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5"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49" fillId="32" borderId="0" applyNumberFormat="0" applyBorder="0" applyAlignment="0" applyProtection="0">
      <alignment vertical="center"/>
    </xf>
    <xf numFmtId="0" fontId="49" fillId="30" borderId="0" applyProtection="0">
      <alignment vertical="center"/>
    </xf>
    <xf numFmtId="0" fontId="49" fillId="32" borderId="0" applyNumberFormat="0" applyBorder="0" applyAlignment="0" applyProtection="0">
      <alignment vertical="center"/>
    </xf>
    <xf numFmtId="0" fontId="49" fillId="30" borderId="0" applyProtection="0">
      <alignment vertical="center"/>
    </xf>
    <xf numFmtId="0" fontId="49" fillId="30" borderId="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Protection="0">
      <alignment vertical="center"/>
    </xf>
    <xf numFmtId="0" fontId="49" fillId="20" borderId="0" applyNumberFormat="0" applyBorder="0" applyAlignment="0" applyProtection="0">
      <alignment vertical="center"/>
    </xf>
    <xf numFmtId="0" fontId="49" fillId="20" borderId="0" applyProtection="0">
      <alignment vertical="center"/>
    </xf>
    <xf numFmtId="0" fontId="49" fillId="20" borderId="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Protection="0">
      <alignment vertical="center"/>
    </xf>
    <xf numFmtId="0" fontId="49" fillId="39" borderId="0" applyNumberFormat="0" applyBorder="0" applyAlignment="0" applyProtection="0">
      <alignment vertical="center"/>
    </xf>
    <xf numFmtId="0" fontId="49" fillId="39" borderId="0" applyProtection="0">
      <alignment vertical="center"/>
    </xf>
    <xf numFmtId="0" fontId="49" fillId="39" borderId="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0" fontId="61" fillId="39" borderId="0" applyNumberFormat="0" applyBorder="0" applyAlignment="0" applyProtection="0">
      <alignment vertical="center"/>
    </xf>
    <xf numFmtId="207" fontId="48" fillId="0" borderId="12" applyFill="0" applyProtection="0">
      <alignment horizontal="right"/>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lignment horizontal="right"/>
    </xf>
    <xf numFmtId="207" fontId="48" fillId="0" borderId="12" applyFill="0" applyProtection="0">
      <alignment horizontal="right" vertical="center"/>
    </xf>
    <xf numFmtId="207" fontId="48" fillId="0" borderId="12">
      <alignment horizontal="right"/>
    </xf>
    <xf numFmtId="207" fontId="48" fillId="0" borderId="12">
      <alignment horizontal="right"/>
    </xf>
    <xf numFmtId="207" fontId="48" fillId="0" borderId="12" applyFill="0" applyProtection="0">
      <alignment horizontal="right" vertical="center"/>
    </xf>
    <xf numFmtId="207" fontId="48" fillId="0" borderId="12">
      <alignment horizontal="right"/>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xf>
    <xf numFmtId="207" fontId="48" fillId="0" borderId="12" applyFill="0" applyProtection="0">
      <alignment horizontal="right" vertical="center"/>
    </xf>
    <xf numFmtId="207" fontId="48" fillId="0" borderId="12" applyFill="0" applyProtection="0">
      <alignment horizontal="right"/>
    </xf>
    <xf numFmtId="207" fontId="48" fillId="0" borderId="12" applyFill="0" applyProtection="0">
      <alignment horizontal="right" vertical="center"/>
    </xf>
    <xf numFmtId="207" fontId="48" fillId="0" borderId="12" applyFill="0" applyProtection="0">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pplyFill="0" applyProtection="0">
      <alignment horizontal="right"/>
    </xf>
    <xf numFmtId="207" fontId="48" fillId="0" borderId="12" applyFill="0" applyProtection="0">
      <alignment horizontal="right"/>
    </xf>
    <xf numFmtId="207" fontId="48" fillId="0" borderId="12" applyFill="0" applyProtection="0">
      <alignment horizontal="right"/>
    </xf>
    <xf numFmtId="207" fontId="48" fillId="0" borderId="12" applyFill="0" applyProtection="0">
      <alignment horizontal="right"/>
    </xf>
    <xf numFmtId="207" fontId="48" fillId="0" borderId="12" applyFill="0" applyProtection="0">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lignment horizontal="right"/>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207" fontId="48" fillId="0" borderId="12" applyFill="0" applyProtection="0">
      <alignment horizontal="right" vertical="center"/>
    </xf>
    <xf numFmtId="0" fontId="48" fillId="0" borderId="4" applyNumberFormat="0" applyFill="0" applyProtection="0">
      <alignment horizontal="left"/>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lignment horizontal="left"/>
    </xf>
    <xf numFmtId="0" fontId="48" fillId="0" borderId="4" applyNumberFormat="0" applyFill="0" applyProtection="0">
      <alignment horizontal="left" vertical="center"/>
    </xf>
    <xf numFmtId="0" fontId="48" fillId="0" borderId="4">
      <alignment horizontal="left"/>
    </xf>
    <xf numFmtId="0" fontId="48" fillId="0" borderId="4">
      <alignment horizontal="left"/>
    </xf>
    <xf numFmtId="0" fontId="48" fillId="0" borderId="4" applyNumberFormat="0" applyFill="0" applyProtection="0">
      <alignment horizontal="left" vertical="center"/>
    </xf>
    <xf numFmtId="0" fontId="48" fillId="0" borderId="4">
      <alignment horizontal="left"/>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xf>
    <xf numFmtId="0" fontId="48" fillId="0" borderId="4" applyNumberFormat="0" applyFill="0" applyProtection="0">
      <alignment horizontal="left" vertical="center"/>
    </xf>
    <xf numFmtId="0" fontId="48" fillId="0" borderId="4" applyNumberFormat="0" applyFill="0" applyProtection="0">
      <alignment horizontal="left"/>
    </xf>
    <xf numFmtId="0" fontId="48" fillId="0" borderId="4" applyNumberFormat="0" applyFill="0" applyProtection="0">
      <alignment horizontal="left" vertical="center"/>
    </xf>
    <xf numFmtId="0" fontId="48" fillId="0" borderId="4" applyNumberFormat="0" applyFill="0" applyProtection="0">
      <alignment horizontal="left"/>
    </xf>
    <xf numFmtId="0" fontId="48" fillId="0" borderId="4">
      <alignment horizontal="left" vertical="center"/>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pplyNumberFormat="0" applyFill="0" applyProtection="0">
      <alignment horizontal="left"/>
    </xf>
    <xf numFmtId="0" fontId="48" fillId="0" borderId="4" applyNumberFormat="0" applyFill="0" applyProtection="0">
      <alignment horizontal="left"/>
    </xf>
    <xf numFmtId="0" fontId="48" fillId="0" borderId="4" applyNumberFormat="0" applyFill="0" applyProtection="0">
      <alignment horizontal="left"/>
    </xf>
    <xf numFmtId="0" fontId="48" fillId="0" borderId="4" applyNumberFormat="0" applyFill="0" applyProtection="0">
      <alignment horizontal="left"/>
    </xf>
    <xf numFmtId="0" fontId="48" fillId="0" borderId="4" applyNumberFormat="0" applyFill="0" applyProtection="0">
      <alignment horizontal="left"/>
    </xf>
    <xf numFmtId="0" fontId="48" fillId="0" borderId="4" applyNumberFormat="0" applyFill="0" applyProtection="0">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lignment horizontal="left"/>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48" fillId="0" borderId="4" applyNumberFormat="0" applyFill="0" applyProtection="0">
      <alignment horizontal="lef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Protection="0">
      <alignment vertical="center"/>
    </xf>
    <xf numFmtId="0" fontId="97" fillId="29" borderId="0" applyNumberFormat="0" applyBorder="0" applyAlignment="0" applyProtection="0">
      <alignment vertical="center"/>
    </xf>
    <xf numFmtId="0" fontId="97" fillId="29" borderId="0" applyProtection="0">
      <alignment vertical="center"/>
    </xf>
    <xf numFmtId="0" fontId="97" fillId="29" borderId="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97" fillId="29" borderId="0" applyNumberFormat="0" applyBorder="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NumberFormat="0" applyAlignment="0"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3" borderId="42"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107" fillId="15" borderId="42"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22" fillId="5" borderId="36" applyProtection="0">
      <alignment vertical="center"/>
    </xf>
    <xf numFmtId="0" fontId="84" fillId="14" borderId="37" applyNumberFormat="0" applyAlignment="0" applyProtection="0">
      <alignment vertical="center"/>
    </xf>
    <xf numFmtId="0" fontId="22" fillId="5" borderId="36" applyProtection="0">
      <alignment vertical="center"/>
    </xf>
    <xf numFmtId="0" fontId="84" fillId="14" borderId="37" applyNumberFormat="0" applyAlignment="0" applyProtection="0">
      <alignment vertical="center"/>
    </xf>
    <xf numFmtId="0" fontId="22" fillId="5" borderId="36" applyNumberFormat="0" applyFont="0" applyAlignment="0" applyProtection="0">
      <alignment vertical="center"/>
    </xf>
    <xf numFmtId="0" fontId="84" fillId="14" borderId="37" applyNumberFormat="0" applyAlignment="0" applyProtection="0">
      <alignment vertical="center"/>
    </xf>
    <xf numFmtId="0" fontId="22" fillId="5" borderId="36" applyNumberFormat="0" applyFont="0" applyAlignment="0" applyProtection="0">
      <alignment vertical="center"/>
    </xf>
    <xf numFmtId="0" fontId="84" fillId="14" borderId="37" applyNumberFormat="0" applyAlignment="0" applyProtection="0">
      <alignment vertical="center"/>
    </xf>
    <xf numFmtId="0" fontId="22" fillId="5" borderId="36" applyNumberFormat="0" applyFont="0" applyAlignment="0" applyProtection="0">
      <alignment vertical="center"/>
    </xf>
    <xf numFmtId="0" fontId="84" fillId="14" borderId="37" applyNumberFormat="0" applyAlignment="0" applyProtection="0">
      <alignment vertical="center"/>
    </xf>
    <xf numFmtId="0" fontId="22" fillId="5" borderId="36" applyNumberFormat="0" applyFont="0" applyAlignment="0" applyProtection="0">
      <alignment vertical="center"/>
    </xf>
    <xf numFmtId="0" fontId="84" fillId="14" borderId="37" applyNumberFormat="0" applyAlignment="0" applyProtection="0">
      <alignment vertical="center"/>
    </xf>
    <xf numFmtId="0" fontId="22" fillId="5" borderId="36" applyNumberFormat="0" applyFon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0" fontId="84" fillId="14" borderId="37" applyNumberFormat="0" applyAlignment="0" applyProtection="0">
      <alignment vertical="center"/>
    </xf>
    <xf numFmtId="1" fontId="48" fillId="0" borderId="12" applyFill="0" applyProtection="0">
      <alignment horizont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lignment horizontal="center"/>
    </xf>
    <xf numFmtId="1" fontId="48" fillId="0" borderId="12" applyFill="0" applyProtection="0">
      <alignment horizontal="center" vertical="center"/>
    </xf>
    <xf numFmtId="1" fontId="48" fillId="0" borderId="12">
      <alignment horizontal="center"/>
    </xf>
    <xf numFmtId="1" fontId="48" fillId="0" borderId="12">
      <alignment horizontal="center"/>
    </xf>
    <xf numFmtId="1" fontId="48" fillId="0" borderId="12" applyFill="0" applyProtection="0">
      <alignment horizontal="center" vertical="center"/>
    </xf>
    <xf numFmtId="1" fontId="48" fillId="0" borderId="12">
      <alignment horizont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xf>
    <xf numFmtId="1" fontId="48" fillId="0" borderId="12" applyFill="0" applyProtection="0">
      <alignment horizontal="center" vertical="center"/>
    </xf>
    <xf numFmtId="1" fontId="48" fillId="0" borderId="12" applyFill="0" applyProtection="0">
      <alignment horizontal="center"/>
    </xf>
    <xf numFmtId="1" fontId="48" fillId="0" borderId="12" applyFill="0" applyProtection="0">
      <alignment horizontal="center" vertical="center"/>
    </xf>
    <xf numFmtId="1" fontId="48" fillId="0" borderId="12" applyFill="0" applyProtection="0">
      <alignment horizontal="center"/>
    </xf>
    <xf numFmtId="1" fontId="48" fillId="0" borderId="12">
      <alignment horizontal="center" vertic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pplyFill="0" applyProtection="0">
      <alignment horizontal="center"/>
    </xf>
    <xf numFmtId="1" fontId="48" fillId="0" borderId="12" applyFill="0" applyProtection="0">
      <alignment horizontal="center"/>
    </xf>
    <xf numFmtId="1" fontId="48" fillId="0" borderId="12" applyFill="0" applyProtection="0">
      <alignment horizontal="center"/>
    </xf>
    <xf numFmtId="1" fontId="48" fillId="0" borderId="12" applyFill="0" applyProtection="0">
      <alignment horizontal="center"/>
    </xf>
    <xf numFmtId="1" fontId="48" fillId="0" borderId="12" applyFill="0" applyProtection="0">
      <alignment horizontal="center"/>
    </xf>
    <xf numFmtId="1" fontId="48" fillId="0" borderId="12" applyFill="0" applyProtection="0">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lignment horizont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1" fontId="48" fillId="0" borderId="12" applyFill="0" applyProtection="0">
      <alignment horizontal="center" vertical="center"/>
    </xf>
    <xf numFmtId="0" fontId="83" fillId="0" borderId="0" applyProtection="0">
      <alignment vertical="center"/>
    </xf>
    <xf numFmtId="0" fontId="83" fillId="0" borderId="0" applyProtection="0"/>
    <xf numFmtId="0" fontId="36" fillId="0" borderId="0"/>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Protection="0"/>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pplyProtection="0">
      <alignment vertical="center"/>
    </xf>
    <xf numFmtId="0" fontId="36" fillId="0" borderId="0">
      <alignment vertical="center"/>
    </xf>
    <xf numFmtId="0" fontId="36" fillId="0" borderId="0">
      <alignment vertical="center"/>
    </xf>
    <xf numFmtId="0" fontId="36" fillId="0" borderId="0" applyProtection="0">
      <alignment vertical="center"/>
    </xf>
    <xf numFmtId="0" fontId="36" fillId="0" borderId="0">
      <alignment vertical="center"/>
    </xf>
    <xf numFmtId="0" fontId="36" fillId="0" borderId="0">
      <alignment vertical="center"/>
    </xf>
    <xf numFmtId="0" fontId="36" fillId="0" borderId="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xf numFmtId="0" fontId="46" fillId="0" borderId="0"/>
    <xf numFmtId="43" fontId="22" fillId="0" borderId="0" applyFont="0" applyFill="0" applyBorder="0" applyAlignment="0" applyProtection="0"/>
    <xf numFmtId="41" fontId="22" fillId="0" borderId="0" applyFont="0" applyFill="0" applyBorder="0" applyAlignment="0" applyProtection="0"/>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4" fillId="5" borderId="36" applyNumberFormat="0" applyFont="0" applyAlignment="0" applyProtection="0">
      <alignment vertical="center"/>
    </xf>
    <xf numFmtId="0" fontId="22" fillId="5" borderId="36"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xf numFmtId="0" fontId="22" fillId="5" borderId="36" applyNumberFormat="0" applyFont="0" applyAlignment="0" applyProtection="0">
      <alignment vertical="center"/>
    </xf>
  </cellStyleXfs>
  <cellXfs count="709">
    <xf numFmtId="0" fontId="0" fillId="0" borderId="0" xfId="0">
      <alignment vertical="center"/>
    </xf>
    <xf numFmtId="0" fontId="8" fillId="0" borderId="0" xfId="0" applyFont="1" applyFill="1">
      <alignment vertical="center"/>
    </xf>
    <xf numFmtId="0" fontId="4" fillId="0" borderId="0" xfId="37966" applyFont="1" applyFill="1" applyAlignment="1" applyProtection="1">
      <alignment vertical="center" wrapText="1"/>
      <protection locked="0"/>
    </xf>
    <xf numFmtId="0" fontId="0" fillId="2" borderId="0" xfId="0" applyFill="1">
      <alignment vertical="center"/>
    </xf>
    <xf numFmtId="0" fontId="0" fillId="0" borderId="0" xfId="0" applyFill="1">
      <alignment vertical="center"/>
    </xf>
    <xf numFmtId="0" fontId="5" fillId="0" borderId="0" xfId="34989" applyFont="1" applyFill="1" applyAlignment="1">
      <alignment horizontal="center" vertical="center" wrapText="1"/>
    </xf>
    <xf numFmtId="0" fontId="5" fillId="0" borderId="0" xfId="34989" applyFont="1" applyFill="1" applyAlignment="1">
      <alignment horizontal="left" vertical="center" wrapText="1"/>
    </xf>
    <xf numFmtId="206" fontId="5" fillId="0" borderId="0" xfId="34989" applyNumberFormat="1" applyFont="1" applyFill="1" applyAlignment="1">
      <alignment horizontal="left" vertical="center" wrapText="1"/>
    </xf>
    <xf numFmtId="0" fontId="4" fillId="0" borderId="0" xfId="37966" applyFont="1" applyFill="1" applyAlignment="1" applyProtection="1">
      <alignment vertical="center" wrapText="1"/>
      <protection locked="0"/>
    </xf>
    <xf numFmtId="0" fontId="0" fillId="0" borderId="0" xfId="0" applyFont="1" applyFill="1">
      <alignment vertical="center"/>
    </xf>
    <xf numFmtId="0" fontId="6" fillId="0" borderId="0" xfId="34597" applyFont="1" applyFill="1"/>
    <xf numFmtId="0" fontId="4" fillId="0" borderId="0" xfId="37966" applyFont="1" applyFill="1" applyAlignment="1" applyProtection="1">
      <alignment vertical="center" wrapText="1"/>
      <protection locked="0"/>
    </xf>
    <xf numFmtId="0" fontId="0" fillId="0" borderId="0" xfId="0" applyFont="1" applyFill="1" applyAlignment="1">
      <alignment vertical="center" wrapText="1"/>
    </xf>
    <xf numFmtId="0" fontId="0" fillId="0" borderId="0" xfId="0" applyFill="1">
      <alignment vertical="center"/>
    </xf>
    <xf numFmtId="0" fontId="0" fillId="0" borderId="0" xfId="0" applyFont="1" applyFill="1" applyAlignment="1">
      <alignment vertical="center" wrapText="1"/>
    </xf>
    <xf numFmtId="0" fontId="0" fillId="0" borderId="0" xfId="0" applyFont="1" applyFill="1">
      <alignment vertical="center"/>
    </xf>
    <xf numFmtId="9" fontId="15" fillId="0" borderId="0" xfId="24" applyFont="1" applyFill="1" applyAlignment="1">
      <alignment horizontal="left" vertical="center" wrapText="1"/>
    </xf>
    <xf numFmtId="0" fontId="0" fillId="0" borderId="0" xfId="0" applyFont="1" applyFill="1">
      <alignment vertical="center"/>
    </xf>
    <xf numFmtId="0" fontId="17" fillId="0" borderId="0" xfId="35222" applyFont="1" applyAlignment="1">
      <alignment horizontal="center" vertical="center"/>
    </xf>
    <xf numFmtId="0" fontId="23" fillId="0" borderId="0" xfId="35222" applyFont="1">
      <alignment vertical="center"/>
    </xf>
    <xf numFmtId="0" fontId="23" fillId="0" borderId="0" xfId="35222" applyFont="1" applyFill="1" applyBorder="1">
      <alignment vertical="center"/>
    </xf>
    <xf numFmtId="0" fontId="20" fillId="0" borderId="0" xfId="35222" applyFont="1" applyAlignment="1">
      <alignment vertical="center" wrapText="1"/>
    </xf>
    <xf numFmtId="0" fontId="2" fillId="0" borderId="0" xfId="0" applyFont="1" applyFill="1" applyBorder="1" applyAlignment="1">
      <alignment vertical="center" wrapText="1"/>
    </xf>
    <xf numFmtId="0" fontId="25" fillId="0" borderId="0" xfId="0" applyFont="1" applyFill="1" applyBorder="1" applyAlignment="1">
      <alignment vertical="center" wrapText="1"/>
    </xf>
    <xf numFmtId="0" fontId="18" fillId="0" borderId="0" xfId="0" applyFont="1" applyFill="1" applyBorder="1" applyAlignment="1">
      <alignment vertical="center" wrapText="1"/>
    </xf>
    <xf numFmtId="0" fontId="26" fillId="0" borderId="0" xfId="35222" applyFont="1" applyAlignment="1">
      <alignment vertical="center" wrapText="1"/>
    </xf>
    <xf numFmtId="0" fontId="27" fillId="0" borderId="0" xfId="0" applyFont="1" applyFill="1" applyBorder="1" applyAlignment="1">
      <alignment vertical="center" wrapText="1"/>
    </xf>
    <xf numFmtId="0" fontId="21" fillId="0" borderId="0" xfId="35222" applyFont="1" applyAlignment="1">
      <alignment vertical="center" wrapText="1"/>
    </xf>
    <xf numFmtId="0" fontId="20" fillId="0" borderId="0" xfId="35222" applyFont="1" applyFill="1" applyBorder="1" applyAlignment="1">
      <alignment vertical="center" wrapText="1"/>
    </xf>
    <xf numFmtId="0" fontId="28" fillId="0" borderId="0" xfId="35222" applyFont="1">
      <alignment vertical="center"/>
    </xf>
    <xf numFmtId="0" fontId="0" fillId="0" borderId="0" xfId="0"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9" fillId="0" borderId="1" xfId="34597" applyFont="1" applyFill="1" applyBorder="1" applyAlignment="1">
      <alignment horizontal="center" vertical="center"/>
    </xf>
    <xf numFmtId="0" fontId="33" fillId="0" borderId="0" xfId="34597" applyFont="1" applyFill="1" applyAlignment="1">
      <alignment vertical="center"/>
    </xf>
    <xf numFmtId="0" fontId="32" fillId="0" borderId="0" xfId="34597" applyFont="1" applyFill="1" applyAlignment="1">
      <alignment vertical="center" wrapText="1"/>
    </xf>
    <xf numFmtId="0" fontId="34" fillId="0" borderId="0" xfId="35021" applyFont="1" applyFill="1" applyAlignment="1"/>
    <xf numFmtId="0" fontId="39" fillId="0" borderId="0" xfId="0" applyFont="1" applyFill="1">
      <alignment vertical="center"/>
    </xf>
    <xf numFmtId="0" fontId="39" fillId="0" borderId="0" xfId="0" applyFont="1">
      <alignment vertical="center"/>
    </xf>
    <xf numFmtId="0" fontId="117" fillId="0" borderId="0" xfId="0" applyFont="1" applyFill="1" applyAlignment="1">
      <alignment vertical="center" wrapText="1"/>
    </xf>
    <xf numFmtId="0" fontId="39" fillId="0" borderId="0" xfId="0" applyFont="1" applyFill="1" applyAlignment="1">
      <alignment vertical="center" wrapText="1"/>
    </xf>
    <xf numFmtId="0" fontId="39" fillId="0" borderId="0" xfId="0" applyFont="1" applyFill="1" applyAlignment="1">
      <alignment horizontal="center" vertical="center"/>
    </xf>
    <xf numFmtId="0" fontId="117" fillId="0" borderId="0" xfId="0" applyFont="1" applyFill="1" applyAlignment="1">
      <alignment horizontal="left" vertical="center"/>
    </xf>
    <xf numFmtId="206" fontId="39" fillId="0" borderId="0" xfId="0" applyNumberFormat="1" applyFont="1" applyFill="1" applyAlignment="1">
      <alignment horizontal="center" vertical="center"/>
    </xf>
    <xf numFmtId="0" fontId="0" fillId="0" borderId="0" xfId="0" applyProtection="1">
      <alignment vertical="center"/>
      <protection locked="0"/>
    </xf>
    <xf numFmtId="212" fontId="119" fillId="0" borderId="5" xfId="35057" applyNumberFormat="1" applyFont="1" applyFill="1" applyBorder="1" applyAlignment="1">
      <alignment horizontal="center" vertical="center" wrapText="1"/>
    </xf>
    <xf numFmtId="212" fontId="120" fillId="3" borderId="5" xfId="38549" applyNumberFormat="1" applyFont="1" applyFill="1" applyBorder="1" applyAlignment="1">
      <alignment vertical="center" wrapText="1"/>
    </xf>
    <xf numFmtId="212" fontId="119" fillId="0" borderId="5" xfId="37973" applyNumberFormat="1" applyFont="1" applyFill="1" applyBorder="1" applyAlignment="1">
      <alignment horizontal="center" vertical="center" wrapText="1"/>
    </xf>
    <xf numFmtId="212" fontId="119" fillId="0" borderId="5" xfId="37973" applyNumberFormat="1" applyFont="1" applyFill="1" applyBorder="1" applyAlignment="1">
      <alignment horizontal="left" vertical="center" wrapText="1"/>
    </xf>
    <xf numFmtId="10" fontId="121" fillId="0" borderId="5" xfId="37973" applyNumberFormat="1" applyFont="1" applyFill="1" applyBorder="1" applyAlignment="1">
      <alignment horizontal="center" vertical="center" wrapText="1"/>
    </xf>
    <xf numFmtId="212" fontId="118" fillId="0" borderId="5" xfId="37973" applyNumberFormat="1" applyFont="1" applyFill="1" applyBorder="1" applyAlignment="1">
      <alignment horizontal="center" vertical="center" wrapText="1"/>
    </xf>
    <xf numFmtId="212" fontId="118" fillId="0" borderId="5" xfId="37973" applyNumberFormat="1" applyFont="1" applyFill="1" applyBorder="1" applyAlignment="1">
      <alignment horizontal="left" vertical="center" wrapText="1"/>
    </xf>
    <xf numFmtId="49" fontId="118" fillId="0" borderId="5" xfId="37973" applyNumberFormat="1" applyFont="1" applyFill="1" applyBorder="1" applyAlignment="1">
      <alignment horizontal="center" vertical="center" wrapText="1"/>
    </xf>
    <xf numFmtId="10" fontId="118" fillId="3" borderId="5" xfId="37973" applyNumberFormat="1" applyFont="1" applyFill="1" applyBorder="1" applyAlignment="1">
      <alignment horizontal="center" vertical="center" wrapText="1"/>
    </xf>
    <xf numFmtId="212" fontId="118" fillId="3" borderId="5" xfId="37973" applyNumberFormat="1" applyFont="1" applyFill="1" applyBorder="1" applyAlignment="1">
      <alignment horizontal="center" vertical="center" wrapText="1"/>
    </xf>
    <xf numFmtId="0" fontId="124" fillId="0" borderId="0" xfId="0" applyFont="1" applyProtection="1">
      <alignment vertical="center"/>
    </xf>
    <xf numFmtId="49" fontId="125" fillId="0" borderId="0" xfId="35021" applyNumberFormat="1" applyFont="1" applyFill="1" applyAlignment="1" applyProtection="1">
      <alignment horizontal="left" vertical="center" wrapText="1"/>
    </xf>
    <xf numFmtId="0" fontId="125" fillId="0" borderId="0" xfId="35021" applyFont="1" applyFill="1" applyProtection="1"/>
    <xf numFmtId="0" fontId="125" fillId="0" borderId="0" xfId="35021" applyFont="1" applyFill="1" applyBorder="1" applyProtection="1"/>
    <xf numFmtId="49" fontId="125" fillId="0" borderId="0" xfId="35021" applyNumberFormat="1" applyFont="1" applyFill="1" applyAlignment="1" applyProtection="1">
      <alignment horizontal="left" wrapText="1"/>
    </xf>
    <xf numFmtId="0" fontId="125" fillId="0" borderId="0" xfId="35021" applyFont="1" applyFill="1" applyAlignment="1" applyProtection="1"/>
    <xf numFmtId="0" fontId="126" fillId="0" borderId="0" xfId="35021" applyFont="1" applyFill="1" applyProtection="1"/>
    <xf numFmtId="0" fontId="125" fillId="0" borderId="0" xfId="35021" applyFont="1" applyFill="1" applyBorder="1" applyAlignment="1" applyProtection="1">
      <alignment horizontal="left" vertical="center" wrapText="1"/>
    </xf>
    <xf numFmtId="0" fontId="125" fillId="0" borderId="0" xfId="35021" applyFont="1" applyFill="1" applyBorder="1" applyAlignment="1" applyProtection="1">
      <alignment horizontal="left"/>
    </xf>
    <xf numFmtId="49" fontId="126" fillId="0" borderId="0" xfId="35021" applyNumberFormat="1" applyFont="1" applyFill="1" applyBorder="1" applyAlignment="1" applyProtection="1">
      <alignment vertical="center" wrapText="1"/>
    </xf>
    <xf numFmtId="0" fontId="128" fillId="0" borderId="0" xfId="35021" applyFont="1" applyFill="1" applyProtection="1"/>
    <xf numFmtId="0" fontId="125" fillId="0" borderId="0" xfId="35021" applyFont="1" applyFill="1" applyProtection="1">
      <protection locked="0"/>
    </xf>
    <xf numFmtId="0" fontId="126" fillId="0" borderId="0" xfId="35021" applyFont="1" applyFill="1" applyProtection="1">
      <protection locked="0"/>
    </xf>
    <xf numFmtId="0" fontId="124" fillId="0" borderId="0" xfId="0" applyFont="1" applyProtection="1">
      <alignment vertical="center"/>
      <protection locked="0"/>
    </xf>
    <xf numFmtId="0" fontId="130" fillId="0" borderId="0" xfId="0" applyFont="1" applyAlignment="1">
      <alignment horizontal="left" vertical="center"/>
    </xf>
    <xf numFmtId="0" fontId="131" fillId="0" borderId="0" xfId="0" applyFont="1" applyAlignment="1">
      <alignment horizontal="center" vertical="center"/>
    </xf>
    <xf numFmtId="0" fontId="129" fillId="0" borderId="0" xfId="0" applyFont="1" applyAlignment="1">
      <alignment horizontal="center" vertical="center"/>
    </xf>
    <xf numFmtId="0" fontId="120" fillId="0" borderId="21" xfId="0" applyFont="1" applyBorder="1" applyAlignment="1">
      <alignment horizontal="center" vertical="center"/>
    </xf>
    <xf numFmtId="0" fontId="120" fillId="0" borderId="20" xfId="0" applyFont="1" applyBorder="1" applyAlignment="1">
      <alignment horizontal="center" vertical="center"/>
    </xf>
    <xf numFmtId="0" fontId="120" fillId="0" borderId="18" xfId="0" applyFont="1" applyBorder="1" applyAlignment="1">
      <alignment horizontal="center" vertical="center"/>
    </xf>
    <xf numFmtId="0" fontId="120" fillId="0" borderId="17" xfId="0" applyFont="1" applyBorder="1" applyAlignment="1">
      <alignment horizontal="center" vertical="center"/>
    </xf>
    <xf numFmtId="0" fontId="119" fillId="0" borderId="5" xfId="0" applyFont="1" applyFill="1" applyBorder="1" applyAlignment="1">
      <alignment horizontal="left" vertical="center" wrapText="1"/>
    </xf>
    <xf numFmtId="0" fontId="120" fillId="0" borderId="19" xfId="0" applyFont="1" applyBorder="1" applyAlignment="1">
      <alignment horizontal="center" vertical="center"/>
    </xf>
    <xf numFmtId="0" fontId="120" fillId="0" borderId="22" xfId="0" applyFont="1" applyBorder="1" applyAlignment="1">
      <alignment horizontal="center" vertical="center"/>
    </xf>
    <xf numFmtId="0" fontId="119" fillId="0" borderId="23" xfId="0" applyFont="1" applyFill="1" applyBorder="1" applyAlignment="1">
      <alignment horizontal="left" vertical="center" wrapText="1"/>
    </xf>
    <xf numFmtId="0" fontId="120" fillId="0" borderId="24" xfId="0" applyFont="1" applyBorder="1" applyAlignment="1">
      <alignment horizontal="center" vertical="center"/>
    </xf>
    <xf numFmtId="0" fontId="122" fillId="0" borderId="5" xfId="37973" applyFont="1" applyFill="1" applyBorder="1" applyAlignment="1">
      <alignment horizontal="center" vertical="center" wrapText="1"/>
    </xf>
    <xf numFmtId="43" fontId="119" fillId="0" borderId="5" xfId="35057" applyNumberFormat="1" applyFont="1" applyFill="1" applyBorder="1" applyAlignment="1">
      <alignment horizontal="center" vertical="center" wrapText="1"/>
    </xf>
    <xf numFmtId="178" fontId="120" fillId="3" borderId="5" xfId="38549" applyNumberFormat="1" applyFont="1" applyFill="1" applyBorder="1" applyAlignment="1">
      <alignment horizontal="center" vertical="center" wrapText="1"/>
    </xf>
    <xf numFmtId="0" fontId="119" fillId="0" borderId="5" xfId="35057" applyFont="1" applyFill="1" applyBorder="1" applyAlignment="1">
      <alignment horizontal="center" vertical="center" wrapText="1"/>
    </xf>
    <xf numFmtId="0" fontId="119" fillId="0" borderId="5" xfId="37973" applyFont="1" applyFill="1" applyBorder="1" applyAlignment="1">
      <alignment horizontal="center" vertical="center" wrapText="1"/>
    </xf>
    <xf numFmtId="10" fontId="134" fillId="0" borderId="5" xfId="24" applyNumberFormat="1" applyFont="1" applyFill="1" applyBorder="1" applyAlignment="1">
      <alignment horizontal="center" vertical="center" wrapText="1"/>
    </xf>
    <xf numFmtId="178" fontId="119" fillId="0" borderId="5" xfId="37973" applyNumberFormat="1" applyFont="1" applyFill="1" applyBorder="1" applyAlignment="1">
      <alignment horizontal="left" vertical="center" wrapText="1"/>
    </xf>
    <xf numFmtId="0" fontId="120" fillId="0" borderId="5" xfId="0" applyFont="1" applyBorder="1" applyAlignment="1">
      <alignment horizontal="center" vertical="center" wrapText="1"/>
    </xf>
    <xf numFmtId="10" fontId="120" fillId="3" borderId="5" xfId="38549" applyNumberFormat="1" applyFont="1" applyFill="1" applyBorder="1" applyAlignment="1">
      <alignment vertical="center" wrapText="1"/>
    </xf>
    <xf numFmtId="212" fontId="118" fillId="0" borderId="5" xfId="35057" applyNumberFormat="1" applyFont="1" applyFill="1" applyBorder="1" applyAlignment="1">
      <alignment horizontal="center" vertical="center" wrapText="1"/>
    </xf>
    <xf numFmtId="2" fontId="118" fillId="0" borderId="5" xfId="19" applyNumberFormat="1" applyFont="1" applyFill="1" applyBorder="1" applyAlignment="1">
      <alignment horizontal="center" vertical="center" wrapText="1"/>
    </xf>
    <xf numFmtId="212" fontId="136" fillId="3" borderId="5" xfId="37973" applyNumberFormat="1" applyFont="1" applyFill="1" applyBorder="1" applyAlignment="1">
      <alignment horizontal="center" vertical="center" wrapText="1"/>
    </xf>
    <xf numFmtId="10" fontId="121" fillId="0" borderId="5" xfId="24" applyNumberFormat="1" applyFont="1" applyFill="1" applyBorder="1" applyAlignment="1">
      <alignment horizontal="center" vertical="center" wrapText="1"/>
    </xf>
    <xf numFmtId="9" fontId="137" fillId="0" borderId="5" xfId="24" applyFont="1" applyFill="1" applyBorder="1" applyAlignment="1">
      <alignment horizontal="center" vertical="center" wrapText="1"/>
    </xf>
    <xf numFmtId="178" fontId="137" fillId="0" borderId="5" xfId="37974" applyNumberFormat="1" applyFont="1" applyFill="1" applyBorder="1" applyAlignment="1" applyProtection="1">
      <alignment horizontal="center" vertical="center" wrapText="1"/>
      <protection locked="0"/>
    </xf>
    <xf numFmtId="10" fontId="137" fillId="0" borderId="5" xfId="37974" applyNumberFormat="1" applyFont="1" applyFill="1" applyBorder="1" applyAlignment="1" applyProtection="1">
      <alignment horizontal="center" vertical="center" wrapText="1"/>
      <protection locked="0"/>
    </xf>
    <xf numFmtId="9" fontId="137" fillId="0" borderId="5" xfId="24" applyFont="1" applyFill="1" applyBorder="1" applyAlignment="1" applyProtection="1">
      <alignment horizontal="center" vertical="center" wrapText="1"/>
      <protection locked="0"/>
    </xf>
    <xf numFmtId="206" fontId="138" fillId="0" borderId="5" xfId="37966" applyNumberFormat="1" applyFont="1" applyFill="1" applyBorder="1" applyAlignment="1">
      <alignment horizontal="center" vertical="center" wrapText="1"/>
    </xf>
    <xf numFmtId="10" fontId="139" fillId="0" borderId="5" xfId="34982" applyNumberFormat="1" applyFont="1" applyFill="1" applyBorder="1" applyAlignment="1" applyProtection="1">
      <alignment horizontal="center" vertical="center" wrapText="1"/>
      <protection locked="0"/>
    </xf>
    <xf numFmtId="178" fontId="138" fillId="0" borderId="5" xfId="37974" applyNumberFormat="1" applyFont="1" applyFill="1" applyBorder="1" applyAlignment="1" applyProtection="1">
      <alignment horizontal="center" vertical="center"/>
      <protection locked="0"/>
    </xf>
    <xf numFmtId="178" fontId="138" fillId="0" borderId="5" xfId="37974" applyNumberFormat="1" applyFont="1" applyFill="1" applyBorder="1" applyAlignment="1" applyProtection="1">
      <alignment horizontal="center" vertical="center" wrapText="1"/>
      <protection locked="0"/>
    </xf>
    <xf numFmtId="10" fontId="138" fillId="0" borderId="5" xfId="37974" applyNumberFormat="1" applyFont="1" applyFill="1" applyBorder="1" applyAlignment="1" applyProtection="1">
      <alignment horizontal="center" vertical="center"/>
      <protection locked="0"/>
    </xf>
    <xf numFmtId="178" fontId="137" fillId="0" borderId="5" xfId="34982" applyNumberFormat="1" applyFont="1" applyFill="1" applyBorder="1" applyAlignment="1" applyProtection="1">
      <alignment horizontal="center" vertical="center" wrapText="1"/>
      <protection locked="0"/>
    </xf>
    <xf numFmtId="0" fontId="137" fillId="0" borderId="5" xfId="37966" applyFont="1" applyFill="1" applyBorder="1" applyAlignment="1">
      <alignment horizontal="center" vertical="center" wrapText="1"/>
    </xf>
    <xf numFmtId="0" fontId="141" fillId="0" borderId="5" xfId="37966" applyFont="1" applyFill="1" applyBorder="1" applyAlignment="1">
      <alignment horizontal="center" vertical="center" wrapText="1"/>
    </xf>
    <xf numFmtId="0" fontId="141" fillId="0" borderId="5" xfId="37966" applyFont="1" applyFill="1" applyBorder="1" applyAlignment="1">
      <alignment vertical="center" wrapText="1"/>
    </xf>
    <xf numFmtId="0" fontId="141" fillId="0" borderId="5" xfId="37966" applyFont="1" applyFill="1" applyBorder="1" applyAlignment="1">
      <alignment horizontal="left" vertical="center" wrapText="1"/>
    </xf>
    <xf numFmtId="178" fontId="138" fillId="0" borderId="5" xfId="34982" applyNumberFormat="1" applyFont="1" applyFill="1" applyBorder="1" applyAlignment="1" applyProtection="1">
      <alignment horizontal="center" vertical="center" wrapText="1"/>
      <protection locked="0"/>
    </xf>
    <xf numFmtId="9" fontId="138" fillId="0" borderId="5" xfId="24" applyFont="1" applyFill="1" applyBorder="1" applyAlignment="1" applyProtection="1">
      <alignment horizontal="left" vertical="center" wrapText="1"/>
      <protection locked="0"/>
    </xf>
    <xf numFmtId="0" fontId="137" fillId="0" borderId="5" xfId="37966" applyFont="1" applyFill="1" applyBorder="1" applyAlignment="1">
      <alignment vertical="center" wrapText="1"/>
    </xf>
    <xf numFmtId="0" fontId="137" fillId="0" borderId="5" xfId="37966" applyFont="1" applyFill="1" applyBorder="1" applyAlignment="1" applyProtection="1">
      <alignment horizontal="center" vertical="center" wrapText="1"/>
      <protection locked="0"/>
    </xf>
    <xf numFmtId="0" fontId="137" fillId="0" borderId="5" xfId="37966" applyFont="1" applyFill="1" applyBorder="1" applyAlignment="1">
      <alignment horizontal="left" vertical="center" wrapText="1"/>
    </xf>
    <xf numFmtId="206" fontId="137" fillId="0" borderId="5" xfId="37966" applyNumberFormat="1" applyFont="1" applyFill="1" applyBorder="1" applyAlignment="1">
      <alignment horizontal="center" vertical="center" wrapText="1"/>
    </xf>
    <xf numFmtId="178" fontId="137" fillId="0" borderId="5" xfId="37966" applyNumberFormat="1" applyFont="1" applyFill="1" applyBorder="1" applyAlignment="1" applyProtection="1">
      <alignment horizontal="center" vertical="center" wrapText="1"/>
      <protection locked="0"/>
    </xf>
    <xf numFmtId="10" fontId="137" fillId="0" borderId="5" xfId="37966" applyNumberFormat="1" applyFont="1" applyFill="1" applyBorder="1" applyAlignment="1" applyProtection="1">
      <alignment horizontal="center" vertical="center" wrapText="1"/>
      <protection locked="0"/>
    </xf>
    <xf numFmtId="0" fontId="142" fillId="0" borderId="5" xfId="37966" applyFont="1" applyFill="1" applyBorder="1" applyAlignment="1">
      <alignment horizontal="left" vertical="center" wrapText="1"/>
    </xf>
    <xf numFmtId="0" fontId="142" fillId="0" borderId="5" xfId="37966" applyFont="1" applyFill="1" applyBorder="1" applyAlignment="1">
      <alignment horizontal="center" vertical="center" wrapText="1"/>
    </xf>
    <xf numFmtId="206" fontId="142" fillId="0" borderId="5" xfId="37966" applyNumberFormat="1" applyFont="1" applyFill="1" applyBorder="1" applyAlignment="1">
      <alignment horizontal="center" vertical="center" wrapText="1"/>
    </xf>
    <xf numFmtId="206" fontId="142" fillId="0" borderId="5" xfId="37969" applyNumberFormat="1" applyFont="1" applyFill="1" applyBorder="1" applyAlignment="1">
      <alignment horizontal="left" vertical="center" wrapText="1"/>
    </xf>
    <xf numFmtId="0" fontId="143" fillId="0" borderId="5" xfId="37969" applyFont="1" applyFill="1" applyBorder="1" applyAlignment="1">
      <alignment vertical="center" wrapText="1"/>
    </xf>
    <xf numFmtId="0" fontId="142" fillId="0" borderId="5" xfId="37969" applyFont="1" applyFill="1" applyBorder="1" applyAlignment="1">
      <alignment vertical="center" wrapText="1"/>
    </xf>
    <xf numFmtId="206" fontId="142" fillId="0" borderId="5" xfId="37969" applyNumberFormat="1" applyFont="1" applyFill="1" applyBorder="1" applyAlignment="1">
      <alignment horizontal="center" vertical="center" wrapText="1"/>
    </xf>
    <xf numFmtId="0" fontId="137" fillId="0" borderId="5" xfId="37966" applyFont="1" applyFill="1" applyBorder="1" applyAlignment="1" applyProtection="1">
      <alignment vertical="center" wrapText="1"/>
      <protection locked="0"/>
    </xf>
    <xf numFmtId="10" fontId="137" fillId="2" borderId="5" xfId="37966" applyNumberFormat="1" applyFont="1" applyFill="1" applyBorder="1" applyAlignment="1" applyProtection="1">
      <alignment horizontal="center" vertical="center" wrapText="1"/>
      <protection locked="0"/>
    </xf>
    <xf numFmtId="10" fontId="142" fillId="2" borderId="5" xfId="37966" applyNumberFormat="1" applyFont="1" applyFill="1" applyBorder="1" applyAlignment="1" applyProtection="1">
      <alignment horizontal="center" vertical="center" wrapText="1"/>
      <protection locked="0"/>
    </xf>
    <xf numFmtId="10" fontId="142" fillId="2" borderId="5" xfId="37969" applyNumberFormat="1" applyFont="1" applyFill="1" applyBorder="1" applyAlignment="1" applyProtection="1">
      <alignment horizontal="center" vertical="center" wrapText="1"/>
      <protection locked="0"/>
    </xf>
    <xf numFmtId="9" fontId="137" fillId="0" borderId="5" xfId="24" applyFont="1" applyFill="1" applyBorder="1" applyAlignment="1">
      <alignment horizontal="left" vertical="center" wrapText="1"/>
    </xf>
    <xf numFmtId="206" fontId="111" fillId="0" borderId="5" xfId="37966" applyNumberFormat="1" applyFont="1" applyFill="1" applyBorder="1" applyAlignment="1" applyProtection="1">
      <alignment horizontal="center" vertical="center" wrapText="1"/>
    </xf>
    <xf numFmtId="178" fontId="111" fillId="0" borderId="5" xfId="37974" applyNumberFormat="1" applyFont="1" applyFill="1" applyBorder="1" applyAlignment="1" applyProtection="1">
      <alignment horizontal="center" vertical="center" wrapText="1"/>
    </xf>
    <xf numFmtId="206" fontId="111" fillId="0" borderId="5" xfId="37974" applyNumberFormat="1" applyFont="1" applyFill="1" applyBorder="1" applyAlignment="1" applyProtection="1">
      <alignment horizontal="center" vertical="center" wrapText="1"/>
    </xf>
    <xf numFmtId="0" fontId="10" fillId="0" borderId="5" xfId="37974" applyFont="1" applyFill="1" applyBorder="1" applyAlignment="1" applyProtection="1">
      <alignment horizontal="center" vertical="center"/>
    </xf>
    <xf numFmtId="0" fontId="5" fillId="0" borderId="5" xfId="37974" applyFont="1" applyFill="1" applyBorder="1" applyAlignment="1" applyProtection="1">
      <alignment horizontal="center" vertical="center"/>
    </xf>
    <xf numFmtId="0" fontId="5" fillId="0" borderId="5" xfId="37974"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xf numFmtId="214" fontId="11" fillId="0" borderId="5" xfId="0" applyNumberFormat="1" applyFont="1" applyFill="1" applyBorder="1" applyAlignment="1" applyProtection="1">
      <alignment horizontal="center" vertical="center" wrapText="1"/>
    </xf>
    <xf numFmtId="10" fontId="5" fillId="0" borderId="5" xfId="37974" applyNumberFormat="1" applyFont="1" applyFill="1" applyBorder="1" applyAlignment="1" applyProtection="1">
      <alignment horizontal="center" vertical="center"/>
    </xf>
    <xf numFmtId="199" fontId="5" fillId="0" borderId="5" xfId="37974" applyNumberFormat="1" applyFont="1" applyFill="1" applyBorder="1" applyAlignment="1" applyProtection="1">
      <alignment horizontal="center" vertical="center"/>
    </xf>
    <xf numFmtId="0" fontId="5" fillId="0" borderId="5" xfId="0" applyFont="1" applyFill="1" applyBorder="1" applyAlignment="1" applyProtection="1">
      <alignment horizontal="left" vertical="center" wrapText="1"/>
    </xf>
    <xf numFmtId="0" fontId="137" fillId="0" borderId="5" xfId="37974" applyFont="1" applyFill="1" applyBorder="1" applyAlignment="1" applyProtection="1">
      <alignment horizontal="center" vertical="center"/>
    </xf>
    <xf numFmtId="0" fontId="137" fillId="0" borderId="5" xfId="37974" applyFont="1" applyFill="1" applyBorder="1" applyAlignment="1" applyProtection="1">
      <alignment horizontal="left" vertical="center" wrapText="1"/>
    </xf>
    <xf numFmtId="0" fontId="137" fillId="0" borderId="5" xfId="37974" applyFont="1" applyFill="1" applyBorder="1" applyAlignment="1" applyProtection="1">
      <alignment horizontal="left" vertical="top" wrapText="1"/>
    </xf>
    <xf numFmtId="0" fontId="137" fillId="0" borderId="5" xfId="37980" applyFont="1" applyFill="1" applyBorder="1" applyAlignment="1" applyProtection="1">
      <alignment horizontal="center" vertical="center" wrapText="1"/>
    </xf>
    <xf numFmtId="214" fontId="137" fillId="0" borderId="5" xfId="0" applyNumberFormat="1" applyFont="1" applyFill="1" applyBorder="1" applyAlignment="1" applyProtection="1">
      <alignment horizontal="left" vertical="center" wrapText="1"/>
    </xf>
    <xf numFmtId="0" fontId="137" fillId="3" borderId="5" xfId="37974" applyFont="1" applyFill="1" applyBorder="1" applyAlignment="1" applyProtection="1">
      <alignment horizontal="left" vertical="center" wrapText="1"/>
    </xf>
    <xf numFmtId="0" fontId="137" fillId="3" borderId="5" xfId="37974" applyFont="1" applyFill="1" applyBorder="1" applyAlignment="1" applyProtection="1">
      <alignment horizontal="left" vertical="top" wrapText="1"/>
    </xf>
    <xf numFmtId="0" fontId="137" fillId="3" borderId="5" xfId="0" applyFont="1" applyFill="1" applyBorder="1" applyAlignment="1" applyProtection="1">
      <alignment horizontal="center" vertical="center" wrapText="1"/>
    </xf>
    <xf numFmtId="0" fontId="137" fillId="0" borderId="5" xfId="37974" applyFont="1" applyFill="1" applyBorder="1" applyAlignment="1" applyProtection="1">
      <alignment horizontal="left" vertical="center"/>
    </xf>
    <xf numFmtId="0" fontId="137" fillId="0" borderId="5" xfId="35018" applyFont="1" applyFill="1" applyBorder="1" applyAlignment="1" applyProtection="1">
      <alignment vertical="center" wrapText="1"/>
    </xf>
    <xf numFmtId="0" fontId="137" fillId="0" borderId="5" xfId="35018" applyFont="1" applyFill="1" applyBorder="1" applyAlignment="1" applyProtection="1">
      <alignment vertical="top" wrapText="1"/>
    </xf>
    <xf numFmtId="206" fontId="138" fillId="0" borderId="5" xfId="34597" applyNumberFormat="1" applyFont="1" applyFill="1" applyBorder="1" applyAlignment="1" applyProtection="1">
      <alignment vertical="center" wrapText="1"/>
    </xf>
    <xf numFmtId="0" fontId="137" fillId="0" borderId="5" xfId="0" applyFont="1" applyFill="1" applyBorder="1" applyAlignment="1" applyProtection="1">
      <alignment horizontal="center" vertical="center" wrapText="1"/>
    </xf>
    <xf numFmtId="9" fontId="137" fillId="0" borderId="5" xfId="24" applyFont="1" applyFill="1" applyBorder="1" applyAlignment="1" applyProtection="1">
      <alignment horizontal="left" vertical="center" wrapText="1"/>
    </xf>
    <xf numFmtId="178" fontId="138" fillId="0" borderId="5" xfId="0" applyNumberFormat="1" applyFont="1" applyFill="1" applyBorder="1" applyProtection="1">
      <alignment vertical="center"/>
    </xf>
    <xf numFmtId="0" fontId="137" fillId="3" borderId="5" xfId="35018" applyFont="1" applyFill="1" applyBorder="1" applyAlignment="1" applyProtection="1">
      <alignment vertical="center" wrapText="1"/>
    </xf>
    <xf numFmtId="0" fontId="137" fillId="3" borderId="5" xfId="35018" applyFont="1" applyFill="1" applyBorder="1" applyAlignment="1" applyProtection="1">
      <alignment vertical="top" wrapText="1"/>
    </xf>
    <xf numFmtId="206" fontId="138" fillId="3" borderId="5" xfId="34597" applyNumberFormat="1" applyFont="1" applyFill="1" applyBorder="1" applyAlignment="1" applyProtection="1">
      <alignment vertical="center" wrapText="1"/>
    </xf>
    <xf numFmtId="0" fontId="137" fillId="3" borderId="5" xfId="35018" applyFont="1" applyFill="1" applyBorder="1" applyAlignment="1" applyProtection="1">
      <alignment horizontal="center" vertical="center" wrapText="1"/>
    </xf>
    <xf numFmtId="0" fontId="137" fillId="0" borderId="5" xfId="35018" applyFont="1" applyFill="1" applyBorder="1" applyAlignment="1" applyProtection="1">
      <alignment horizontal="center" vertical="center" wrapText="1"/>
    </xf>
    <xf numFmtId="206" fontId="137" fillId="3" borderId="5" xfId="37969" applyNumberFormat="1" applyFont="1" applyFill="1" applyBorder="1" applyAlignment="1" applyProtection="1">
      <alignment vertical="center" wrapText="1"/>
    </xf>
    <xf numFmtId="0" fontId="137" fillId="3" borderId="5" xfId="37974" applyFont="1" applyFill="1" applyBorder="1" applyProtection="1">
      <alignment vertical="center"/>
    </xf>
    <xf numFmtId="0" fontId="137" fillId="3" borderId="5" xfId="35003" applyFont="1" applyFill="1" applyBorder="1" applyAlignment="1" applyProtection="1">
      <alignment horizontal="center" vertical="center" wrapText="1"/>
    </xf>
    <xf numFmtId="206" fontId="144" fillId="0" borderId="5" xfId="34597" applyNumberFormat="1" applyFont="1" applyFill="1" applyBorder="1" applyAlignment="1" applyProtection="1">
      <alignment vertical="center" wrapText="1"/>
    </xf>
    <xf numFmtId="199" fontId="137" fillId="0" borderId="5" xfId="37974" applyNumberFormat="1" applyFont="1" applyFill="1" applyBorder="1" applyAlignment="1" applyProtection="1">
      <alignment horizontal="left" vertical="center"/>
    </xf>
    <xf numFmtId="0" fontId="137" fillId="0" borderId="5" xfId="34597" applyFont="1" applyFill="1" applyBorder="1" applyAlignment="1" applyProtection="1">
      <alignment vertical="center" wrapText="1"/>
    </xf>
    <xf numFmtId="0" fontId="137" fillId="0" borderId="5" xfId="37980" applyFont="1" applyFill="1" applyBorder="1" applyAlignment="1" applyProtection="1">
      <alignment horizontal="left" vertical="center" wrapText="1"/>
    </xf>
    <xf numFmtId="0" fontId="138" fillId="0" borderId="5" xfId="35018" applyFont="1" applyFill="1" applyBorder="1" applyAlignment="1" applyProtection="1">
      <alignment vertical="center" wrapText="1"/>
    </xf>
    <xf numFmtId="0" fontId="137" fillId="0" borderId="5" xfId="37971" applyFont="1" applyFill="1" applyBorder="1" applyAlignment="1" applyProtection="1">
      <alignment horizontal="center" vertical="center" wrapText="1"/>
    </xf>
    <xf numFmtId="0" fontId="138" fillId="0" borderId="5" xfId="37966" applyFont="1" applyFill="1" applyBorder="1" applyAlignment="1" applyProtection="1">
      <alignment vertical="center" wrapText="1"/>
    </xf>
    <xf numFmtId="0" fontId="137" fillId="0" borderId="5" xfId="37974" applyFont="1" applyFill="1" applyBorder="1" applyProtection="1">
      <alignment vertical="center"/>
    </xf>
    <xf numFmtId="0" fontId="138" fillId="0" borderId="5" xfId="34597" applyFont="1" applyFill="1" applyBorder="1" applyAlignment="1" applyProtection="1">
      <alignment vertical="center" wrapText="1"/>
    </xf>
    <xf numFmtId="199" fontId="137" fillId="0" borderId="5" xfId="37974" applyNumberFormat="1" applyFont="1" applyFill="1" applyBorder="1" applyAlignment="1" applyProtection="1">
      <alignment horizontal="left" vertical="center" wrapText="1"/>
    </xf>
    <xf numFmtId="0" fontId="137" fillId="0" borderId="5" xfId="34675" applyFont="1" applyFill="1" applyBorder="1" applyAlignment="1" applyProtection="1">
      <alignment vertical="center" wrapText="1"/>
    </xf>
    <xf numFmtId="0" fontId="137" fillId="0" borderId="5" xfId="0" applyFont="1" applyFill="1" applyBorder="1" applyAlignment="1" applyProtection="1">
      <alignment horizontal="left" vertical="center" wrapText="1"/>
    </xf>
    <xf numFmtId="0" fontId="142" fillId="3" borderId="5" xfId="37974" applyFont="1" applyFill="1" applyBorder="1" applyAlignment="1" applyProtection="1">
      <alignment horizontal="left" vertical="center" wrapText="1"/>
    </xf>
    <xf numFmtId="0" fontId="142" fillId="3" borderId="5" xfId="37971" applyFont="1" applyFill="1" applyBorder="1" applyAlignment="1" applyProtection="1">
      <alignment horizontal="left" vertical="center" wrapText="1"/>
    </xf>
    <xf numFmtId="206" fontId="142" fillId="3" borderId="5" xfId="33708" applyNumberFormat="1" applyFont="1" applyFill="1" applyBorder="1" applyAlignment="1" applyProtection="1">
      <alignment horizontal="center" vertical="center" wrapText="1"/>
    </xf>
    <xf numFmtId="9" fontId="142" fillId="3" borderId="5" xfId="24" applyFont="1" applyFill="1" applyBorder="1" applyAlignment="1" applyProtection="1">
      <alignment horizontal="left" vertical="center"/>
    </xf>
    <xf numFmtId="0" fontId="145" fillId="0" borderId="6" xfId="0" applyFont="1" applyBorder="1" applyProtection="1">
      <alignment vertical="center"/>
    </xf>
    <xf numFmtId="0" fontId="145" fillId="0" borderId="7" xfId="0" applyFont="1" applyBorder="1" applyProtection="1">
      <alignment vertical="center"/>
    </xf>
    <xf numFmtId="0" fontId="146" fillId="0" borderId="7" xfId="35018" applyFont="1" applyFill="1" applyBorder="1" applyAlignment="1" applyProtection="1">
      <alignment vertical="center" wrapText="1"/>
    </xf>
    <xf numFmtId="0" fontId="145" fillId="0" borderId="7" xfId="0" applyFont="1" applyFill="1" applyBorder="1" applyProtection="1">
      <alignment vertical="center"/>
    </xf>
    <xf numFmtId="0" fontId="145" fillId="0" borderId="5" xfId="0" applyFont="1" applyFill="1" applyBorder="1" applyProtection="1">
      <alignment vertical="center"/>
    </xf>
    <xf numFmtId="2" fontId="137" fillId="0" borderId="5" xfId="37966" applyNumberFormat="1" applyFont="1" applyFill="1" applyBorder="1" applyAlignment="1">
      <alignment horizontal="center" vertical="center" wrapText="1" shrinkToFit="1"/>
    </xf>
    <xf numFmtId="178" fontId="137" fillId="0" borderId="5" xfId="37966" applyNumberFormat="1" applyFont="1" applyFill="1" applyBorder="1" applyAlignment="1">
      <alignment horizontal="center" vertical="center" wrapText="1" shrinkToFit="1"/>
    </xf>
    <xf numFmtId="9" fontId="138" fillId="0" borderId="5" xfId="24" applyFont="1" applyFill="1" applyBorder="1" applyAlignment="1">
      <alignment horizontal="left" vertical="center" wrapText="1"/>
    </xf>
    <xf numFmtId="0" fontId="138" fillId="0" borderId="5" xfId="0" applyFont="1" applyFill="1" applyBorder="1" applyAlignment="1">
      <alignment vertical="center" wrapText="1"/>
    </xf>
    <xf numFmtId="10" fontId="137" fillId="0" borderId="5" xfId="37966" applyNumberFormat="1" applyFont="1" applyFill="1" applyBorder="1" applyAlignment="1">
      <alignment horizontal="center" vertical="center" wrapText="1" shrinkToFit="1"/>
    </xf>
    <xf numFmtId="0" fontId="137" fillId="0" borderId="5" xfId="34597" applyFont="1" applyFill="1" applyBorder="1" applyAlignment="1">
      <alignment horizontal="center" vertical="center" wrapText="1"/>
    </xf>
    <xf numFmtId="206" fontId="141" fillId="0" borderId="5" xfId="34597" applyNumberFormat="1" applyFont="1" applyFill="1" applyBorder="1" applyAlignment="1">
      <alignment horizontal="center" vertical="center" wrapText="1"/>
    </xf>
    <xf numFmtId="178" fontId="137" fillId="0" borderId="5" xfId="34597" applyNumberFormat="1" applyFont="1" applyFill="1" applyBorder="1" applyAlignment="1">
      <alignment horizontal="center" vertical="center" wrapText="1"/>
    </xf>
    <xf numFmtId="10" fontId="137" fillId="0" borderId="5" xfId="34597" applyNumberFormat="1" applyFont="1" applyFill="1" applyBorder="1" applyAlignment="1">
      <alignment horizontal="center" vertical="center" wrapText="1"/>
    </xf>
    <xf numFmtId="0" fontId="137" fillId="0" borderId="6" xfId="34597" applyFont="1" applyFill="1" applyBorder="1" applyAlignment="1">
      <alignment vertical="center" wrapText="1"/>
    </xf>
    <xf numFmtId="0" fontId="137" fillId="0" borderId="7" xfId="34597" applyFont="1" applyFill="1" applyBorder="1" applyAlignment="1">
      <alignment vertical="center" wrapText="1"/>
    </xf>
    <xf numFmtId="0" fontId="141" fillId="0" borderId="7" xfId="34597" applyFont="1" applyFill="1" applyBorder="1" applyAlignment="1">
      <alignment vertical="center" wrapText="1"/>
    </xf>
    <xf numFmtId="0" fontId="137" fillId="0" borderId="7" xfId="34597" applyFont="1" applyFill="1" applyBorder="1" applyAlignment="1">
      <alignment horizontal="center" vertical="center" wrapText="1"/>
    </xf>
    <xf numFmtId="206" fontId="137" fillId="0" borderId="8" xfId="34597" applyNumberFormat="1" applyFont="1" applyFill="1" applyBorder="1" applyAlignment="1">
      <alignment horizontal="center" vertical="center" wrapText="1"/>
    </xf>
    <xf numFmtId="10" fontId="142" fillId="4" borderId="5" xfId="37966" applyNumberFormat="1" applyFont="1" applyFill="1" applyBorder="1" applyAlignment="1" applyProtection="1">
      <alignment horizontal="center" vertical="center" wrapText="1"/>
      <protection locked="0"/>
    </xf>
    <xf numFmtId="9" fontId="15" fillId="0" borderId="0" xfId="24" applyFont="1" applyFill="1" applyAlignment="1" applyProtection="1">
      <alignment horizontal="left" vertical="center" wrapText="1"/>
    </xf>
    <xf numFmtId="0" fontId="0" fillId="0" borderId="5" xfId="0" applyBorder="1" applyProtection="1">
      <alignment vertical="center"/>
    </xf>
    <xf numFmtId="9" fontId="111" fillId="0" borderId="6" xfId="24" applyFont="1" applyFill="1" applyBorder="1" applyAlignment="1" applyProtection="1">
      <alignment horizontal="center" vertical="center" wrapText="1"/>
    </xf>
    <xf numFmtId="10" fontId="111" fillId="0" borderId="5" xfId="37974" applyNumberFormat="1" applyFont="1" applyFill="1" applyBorder="1" applyAlignment="1" applyProtection="1">
      <alignment horizontal="center" vertical="center" wrapText="1"/>
    </xf>
    <xf numFmtId="206" fontId="112" fillId="0" borderId="5" xfId="37966" applyNumberFormat="1" applyFont="1" applyFill="1" applyBorder="1" applyAlignment="1" applyProtection="1">
      <alignment horizontal="center" vertical="center" wrapText="1"/>
    </xf>
    <xf numFmtId="10" fontId="149" fillId="0" borderId="5" xfId="34982" applyNumberFormat="1" applyFont="1" applyFill="1" applyBorder="1" applyAlignment="1" applyProtection="1">
      <alignment horizontal="center" vertical="center" wrapText="1"/>
    </xf>
    <xf numFmtId="178" fontId="112" fillId="0" borderId="5" xfId="37974" applyNumberFormat="1" applyFont="1" applyFill="1" applyBorder="1" applyAlignment="1" applyProtection="1">
      <alignment horizontal="center" vertical="center"/>
    </xf>
    <xf numFmtId="178" fontId="112" fillId="0" borderId="5" xfId="37974" applyNumberFormat="1" applyFont="1" applyFill="1" applyBorder="1" applyAlignment="1" applyProtection="1">
      <alignment horizontal="center" vertical="center" wrapText="1"/>
    </xf>
    <xf numFmtId="10" fontId="112" fillId="0" borderId="5" xfId="37974" applyNumberFormat="1" applyFont="1" applyFill="1" applyBorder="1" applyAlignment="1" applyProtection="1">
      <alignment horizontal="center" vertical="center"/>
    </xf>
    <xf numFmtId="178" fontId="111" fillId="0" borderId="5" xfId="34982" applyNumberFormat="1" applyFont="1" applyFill="1" applyBorder="1" applyAlignment="1" applyProtection="1">
      <alignment horizontal="center" vertical="center" wrapText="1"/>
    </xf>
    <xf numFmtId="0" fontId="111" fillId="0" borderId="5" xfId="37966" applyFont="1" applyFill="1" applyBorder="1" applyAlignment="1" applyProtection="1">
      <alignment horizontal="center" vertical="center" wrapText="1"/>
    </xf>
    <xf numFmtId="0" fontId="152" fillId="0" borderId="5" xfId="37966" applyFont="1" applyFill="1" applyBorder="1" applyAlignment="1" applyProtection="1">
      <alignment horizontal="center" vertical="center" wrapText="1"/>
    </xf>
    <xf numFmtId="0" fontId="152" fillId="0" borderId="5" xfId="37966" applyFont="1" applyFill="1" applyBorder="1" applyAlignment="1" applyProtection="1">
      <alignment vertical="center" wrapText="1"/>
    </xf>
    <xf numFmtId="0" fontId="152" fillId="0" borderId="5" xfId="37966" applyFont="1" applyFill="1" applyBorder="1" applyAlignment="1" applyProtection="1">
      <alignment horizontal="left" vertical="center" wrapText="1"/>
    </xf>
    <xf numFmtId="206" fontId="152" fillId="0" borderId="5" xfId="37966" applyNumberFormat="1" applyFont="1" applyFill="1" applyBorder="1" applyAlignment="1" applyProtection="1">
      <alignment horizontal="center" vertical="center" wrapText="1"/>
    </xf>
    <xf numFmtId="10" fontId="152" fillId="0" borderId="5" xfId="37966" applyNumberFormat="1" applyFont="1" applyFill="1" applyBorder="1" applyAlignment="1" applyProtection="1">
      <alignment horizontal="center" vertical="center" wrapText="1"/>
    </xf>
    <xf numFmtId="206" fontId="145" fillId="0" borderId="5" xfId="37966" applyNumberFormat="1" applyFont="1" applyFill="1" applyBorder="1" applyAlignment="1" applyProtection="1">
      <alignment horizontal="center" vertical="center" wrapText="1"/>
    </xf>
    <xf numFmtId="10" fontId="153" fillId="0" borderId="5" xfId="34982" applyNumberFormat="1" applyFont="1" applyFill="1" applyBorder="1" applyAlignment="1" applyProtection="1">
      <alignment horizontal="center" vertical="center" wrapText="1"/>
    </xf>
    <xf numFmtId="178" fontId="145" fillId="0" borderId="5" xfId="37974" applyNumberFormat="1" applyFont="1" applyFill="1" applyBorder="1" applyAlignment="1" applyProtection="1">
      <alignment horizontal="center" vertical="center" wrapText="1"/>
    </xf>
    <xf numFmtId="10" fontId="145" fillId="0" borderId="5" xfId="37974" applyNumberFormat="1" applyFont="1" applyFill="1" applyBorder="1" applyAlignment="1" applyProtection="1">
      <alignment horizontal="center" vertical="center" wrapText="1"/>
    </xf>
    <xf numFmtId="178" fontId="145" fillId="0" borderId="5" xfId="34982" applyNumberFormat="1" applyFont="1" applyFill="1" applyBorder="1" applyAlignment="1" applyProtection="1">
      <alignment horizontal="center" vertical="center" wrapText="1"/>
    </xf>
    <xf numFmtId="9" fontId="145" fillId="0" borderId="6" xfId="24" applyFont="1" applyFill="1" applyBorder="1" applyAlignment="1" applyProtection="1">
      <alignment horizontal="left" vertical="center" wrapText="1"/>
    </xf>
    <xf numFmtId="0" fontId="142" fillId="0" borderId="5" xfId="37966" applyFont="1" applyFill="1" applyBorder="1" applyAlignment="1" applyProtection="1">
      <alignment vertical="center" wrapText="1"/>
    </xf>
    <xf numFmtId="0" fontId="142" fillId="0" borderId="5" xfId="37966" applyFont="1" applyFill="1" applyBorder="1" applyAlignment="1" applyProtection="1">
      <alignment horizontal="center" vertical="center" wrapText="1"/>
    </xf>
    <xf numFmtId="0" fontId="142" fillId="0" borderId="5" xfId="37966" applyFont="1" applyFill="1" applyBorder="1" applyAlignment="1" applyProtection="1">
      <alignment horizontal="left" vertical="center" wrapText="1"/>
    </xf>
    <xf numFmtId="206" fontId="142" fillId="0" borderId="5" xfId="37966" applyNumberFormat="1" applyFont="1" applyFill="1" applyBorder="1" applyAlignment="1" applyProtection="1">
      <alignment horizontal="center" vertical="center" wrapText="1"/>
    </xf>
    <xf numFmtId="2" fontId="142" fillId="0" borderId="5" xfId="37966" applyNumberFormat="1" applyFont="1" applyFill="1" applyBorder="1" applyAlignment="1" applyProtection="1">
      <alignment horizontal="center" vertical="center" wrapText="1" shrinkToFit="1"/>
    </xf>
    <xf numFmtId="178" fontId="142" fillId="0" borderId="5" xfId="37966" applyNumberFormat="1" applyFont="1" applyFill="1" applyBorder="1" applyAlignment="1" applyProtection="1">
      <alignment horizontal="center" vertical="center" wrapText="1"/>
    </xf>
    <xf numFmtId="10" fontId="142" fillId="0" borderId="5" xfId="37966" applyNumberFormat="1" applyFont="1" applyFill="1" applyBorder="1" applyAlignment="1" applyProtection="1">
      <alignment horizontal="center" vertical="center" wrapText="1"/>
    </xf>
    <xf numFmtId="178" fontId="142" fillId="0" borderId="5" xfId="37966" applyNumberFormat="1" applyFont="1" applyFill="1" applyBorder="1" applyAlignment="1" applyProtection="1">
      <alignment horizontal="center" vertical="center" wrapText="1" shrinkToFit="1"/>
    </xf>
    <xf numFmtId="9" fontId="142" fillId="0" borderId="6" xfId="24" applyFont="1" applyFill="1" applyBorder="1" applyAlignment="1" applyProtection="1">
      <alignment horizontal="left" vertical="center" wrapText="1" shrinkToFit="1"/>
    </xf>
    <xf numFmtId="206" fontId="142" fillId="0" borderId="5" xfId="37967" applyNumberFormat="1" applyFont="1" applyFill="1" applyBorder="1" applyAlignment="1" applyProtection="1">
      <alignment vertical="center" wrapText="1"/>
    </xf>
    <xf numFmtId="206" fontId="142" fillId="0" borderId="5" xfId="37967" applyNumberFormat="1" applyFont="1" applyFill="1" applyBorder="1" applyAlignment="1" applyProtection="1">
      <alignment horizontal="left" vertical="center" wrapText="1"/>
    </xf>
    <xf numFmtId="206" fontId="142" fillId="0" borderId="5" xfId="34597" applyNumberFormat="1" applyFont="1" applyFill="1" applyBorder="1" applyAlignment="1" applyProtection="1">
      <alignment vertical="center" wrapText="1"/>
    </xf>
    <xf numFmtId="206" fontId="154" fillId="0" borderId="5" xfId="34597" applyNumberFormat="1" applyFont="1" applyFill="1" applyBorder="1" applyAlignment="1" applyProtection="1">
      <alignment horizontal="left" vertical="center" wrapText="1"/>
    </xf>
    <xf numFmtId="0" fontId="142" fillId="3" borderId="5" xfId="37966" applyFont="1" applyFill="1" applyBorder="1" applyAlignment="1" applyProtection="1">
      <alignment horizontal="center" vertical="center" wrapText="1"/>
    </xf>
    <xf numFmtId="0" fontId="142" fillId="3" borderId="5" xfId="37967" applyFont="1" applyFill="1" applyBorder="1" applyAlignment="1" applyProtection="1">
      <alignment vertical="center" wrapText="1"/>
    </xf>
    <xf numFmtId="206" fontId="142" fillId="3" borderId="5" xfId="35449" quotePrefix="1" applyNumberFormat="1" applyFont="1" applyFill="1" applyBorder="1" applyAlignment="1" applyProtection="1">
      <alignment horizontal="left" vertical="center" wrapText="1"/>
    </xf>
    <xf numFmtId="0" fontId="142" fillId="3" borderId="5" xfId="37967" applyFont="1" applyFill="1" applyBorder="1" applyAlignment="1" applyProtection="1">
      <alignment horizontal="left" vertical="center" wrapText="1"/>
    </xf>
    <xf numFmtId="206" fontId="142" fillId="3" borderId="5" xfId="35449" applyNumberFormat="1" applyFont="1" applyFill="1" applyBorder="1" applyAlignment="1" applyProtection="1">
      <alignment horizontal="center" vertical="center" wrapText="1"/>
    </xf>
    <xf numFmtId="9" fontId="142" fillId="0" borderId="6" xfId="24" applyFont="1" applyFill="1" applyBorder="1" applyAlignment="1" applyProtection="1">
      <alignment horizontal="left" vertical="center" wrapText="1"/>
    </xf>
    <xf numFmtId="0" fontId="152" fillId="0" borderId="5" xfId="37967" applyFont="1" applyFill="1" applyBorder="1" applyAlignment="1" applyProtection="1">
      <alignment vertical="center" wrapText="1"/>
    </xf>
    <xf numFmtId="206" fontId="142" fillId="0" borderId="5" xfId="35449" applyNumberFormat="1" applyFont="1" applyFill="1" applyBorder="1" applyAlignment="1" applyProtection="1">
      <alignment horizontal="left" vertical="center" wrapText="1"/>
    </xf>
    <xf numFmtId="0" fontId="142" fillId="0" borderId="5" xfId="37967" applyFont="1" applyFill="1" applyBorder="1" applyAlignment="1" applyProtection="1">
      <alignment horizontal="left" vertical="center" wrapText="1"/>
    </xf>
    <xf numFmtId="206" fontId="142" fillId="0" borderId="5" xfId="35449" applyNumberFormat="1" applyFont="1" applyFill="1" applyBorder="1" applyAlignment="1" applyProtection="1">
      <alignment horizontal="center" vertical="center" wrapText="1"/>
    </xf>
    <xf numFmtId="206" fontId="152" fillId="0" borderId="5" xfId="35449" applyNumberFormat="1" applyFont="1" applyFill="1" applyBorder="1" applyAlignment="1" applyProtection="1">
      <alignment horizontal="center" vertical="center" wrapText="1"/>
    </xf>
    <xf numFmtId="10" fontId="142" fillId="0" borderId="5" xfId="35449" applyNumberFormat="1" applyFont="1" applyFill="1" applyBorder="1" applyAlignment="1" applyProtection="1">
      <alignment horizontal="center" vertical="center" wrapText="1"/>
    </xf>
    <xf numFmtId="9" fontId="155" fillId="0" borderId="6" xfId="24" applyFont="1" applyFill="1" applyBorder="1" applyAlignment="1" applyProtection="1">
      <alignment horizontal="left" vertical="center" wrapText="1"/>
    </xf>
    <xf numFmtId="0" fontId="155" fillId="0" borderId="5" xfId="0" applyFont="1" applyFill="1" applyBorder="1" applyAlignment="1" applyProtection="1">
      <alignment vertical="center" wrapText="1"/>
    </xf>
    <xf numFmtId="0" fontId="142" fillId="0" borderId="5" xfId="0" applyFont="1" applyFill="1" applyBorder="1" applyAlignment="1" applyProtection="1">
      <alignment horizontal="left" vertical="center" wrapText="1"/>
    </xf>
    <xf numFmtId="0" fontId="145" fillId="0" borderId="5" xfId="0" applyFont="1" applyFill="1" applyBorder="1" applyAlignment="1" applyProtection="1">
      <alignment vertical="center" wrapText="1"/>
    </xf>
    <xf numFmtId="178" fontId="142" fillId="0" borderId="16" xfId="37966" applyNumberFormat="1" applyFont="1" applyFill="1" applyBorder="1" applyAlignment="1" applyProtection="1">
      <alignment horizontal="center" vertical="center" wrapText="1"/>
    </xf>
    <xf numFmtId="0" fontId="142" fillId="3" borderId="5" xfId="37966" applyFont="1" applyFill="1" applyBorder="1" applyAlignment="1" applyProtection="1">
      <alignment horizontal="left" vertical="center" wrapText="1"/>
    </xf>
    <xf numFmtId="9" fontId="142" fillId="0" borderId="6" xfId="24" applyFont="1" applyFill="1" applyBorder="1" applyAlignment="1" applyProtection="1">
      <alignment horizontal="center" vertical="center" wrapText="1"/>
    </xf>
    <xf numFmtId="0" fontId="142" fillId="0" borderId="6" xfId="37966" applyFont="1" applyFill="1" applyBorder="1" applyAlignment="1" applyProtection="1">
      <alignment horizontal="left" vertical="center" wrapText="1"/>
    </xf>
    <xf numFmtId="0" fontId="145" fillId="3" borderId="5" xfId="0" applyFont="1" applyFill="1" applyBorder="1" applyAlignment="1" applyProtection="1">
      <alignment vertical="center" wrapText="1"/>
    </xf>
    <xf numFmtId="0" fontId="142" fillId="3" borderId="5" xfId="37966" applyFont="1" applyFill="1" applyBorder="1" applyAlignment="1" applyProtection="1">
      <alignment vertical="center" wrapText="1"/>
    </xf>
    <xf numFmtId="206" fontId="142" fillId="3" borderId="5" xfId="37969" applyNumberFormat="1" applyFont="1" applyFill="1" applyBorder="1" applyAlignment="1" applyProtection="1">
      <alignment horizontal="center" vertical="center" wrapText="1"/>
    </xf>
    <xf numFmtId="0" fontId="143" fillId="3" borderId="5" xfId="34925" applyFont="1" applyFill="1" applyBorder="1" applyAlignment="1" applyProtection="1">
      <alignment vertical="center" wrapText="1"/>
    </xf>
    <xf numFmtId="0" fontId="142" fillId="3" borderId="5" xfId="34925" applyFont="1" applyFill="1" applyBorder="1" applyAlignment="1" applyProtection="1">
      <alignment vertical="center" wrapText="1"/>
    </xf>
    <xf numFmtId="0" fontId="143" fillId="3" borderId="5" xfId="34925" applyFont="1" applyFill="1" applyBorder="1" applyAlignment="1" applyProtection="1">
      <alignment horizontal="left" vertical="center" wrapText="1"/>
    </xf>
    <xf numFmtId="0" fontId="142" fillId="3" borderId="5" xfId="37966" applyFont="1" applyFill="1" applyBorder="1" applyAlignment="1" applyProtection="1">
      <alignment horizontal="left" vertical="top" wrapText="1"/>
    </xf>
    <xf numFmtId="206" fontId="142" fillId="3" borderId="5" xfId="37967" applyNumberFormat="1" applyFont="1" applyFill="1" applyBorder="1" applyAlignment="1" applyProtection="1">
      <alignment horizontal="left" vertical="center" wrapText="1"/>
    </xf>
    <xf numFmtId="199" fontId="142" fillId="3" borderId="5" xfId="37966" applyNumberFormat="1" applyFont="1" applyFill="1" applyBorder="1" applyAlignment="1" applyProtection="1">
      <alignment vertical="center" wrapText="1"/>
    </xf>
    <xf numFmtId="199" fontId="142" fillId="3" borderId="5" xfId="37966" applyNumberFormat="1" applyFont="1" applyFill="1" applyBorder="1" applyAlignment="1" applyProtection="1">
      <alignment horizontal="left" vertical="center" wrapText="1"/>
    </xf>
    <xf numFmtId="199" fontId="142" fillId="3" borderId="5" xfId="37966" applyNumberFormat="1" applyFont="1" applyFill="1" applyBorder="1" applyAlignment="1" applyProtection="1">
      <alignment horizontal="center" vertical="center" wrapText="1"/>
    </xf>
    <xf numFmtId="214" fontId="142" fillId="0" borderId="5" xfId="37966" applyNumberFormat="1" applyFont="1" applyFill="1" applyBorder="1" applyAlignment="1" applyProtection="1">
      <alignment horizontal="center" vertical="center" wrapText="1" shrinkToFit="1"/>
    </xf>
    <xf numFmtId="199" fontId="142" fillId="0" borderId="5" xfId="37966" applyNumberFormat="1" applyFont="1" applyFill="1" applyBorder="1" applyAlignment="1" applyProtection="1">
      <alignment vertical="center" wrapText="1"/>
    </xf>
    <xf numFmtId="199" fontId="142" fillId="0" borderId="5" xfId="37966" applyNumberFormat="1" applyFont="1" applyFill="1" applyBorder="1" applyAlignment="1" applyProtection="1">
      <alignment horizontal="left" vertical="center" wrapText="1"/>
    </xf>
    <xf numFmtId="199" fontId="142" fillId="0" borderId="5" xfId="37966" applyNumberFormat="1" applyFont="1" applyFill="1" applyBorder="1" applyAlignment="1" applyProtection="1">
      <alignment horizontal="center" vertical="center" wrapText="1"/>
    </xf>
    <xf numFmtId="0" fontId="156" fillId="0" borderId="5" xfId="37966" applyFont="1" applyFill="1" applyBorder="1" applyAlignment="1" applyProtection="1">
      <alignment horizontal="left" vertical="center" wrapText="1"/>
    </xf>
    <xf numFmtId="206" fontId="156" fillId="0" borderId="5" xfId="33708" applyNumberFormat="1" applyFont="1" applyFill="1" applyBorder="1" applyAlignment="1" applyProtection="1">
      <alignment horizontal="center" vertical="center" wrapText="1"/>
    </xf>
    <xf numFmtId="0" fontId="156" fillId="3" borderId="5" xfId="37966" applyFont="1" applyFill="1" applyBorder="1" applyAlignment="1" applyProtection="1">
      <alignment horizontal="left" vertical="center" wrapText="1"/>
    </xf>
    <xf numFmtId="206" fontId="156" fillId="3" borderId="5" xfId="33708" applyNumberFormat="1" applyFont="1" applyFill="1" applyBorder="1" applyAlignment="1" applyProtection="1">
      <alignment horizontal="center" vertical="center" wrapText="1"/>
    </xf>
    <xf numFmtId="206" fontId="142" fillId="3" borderId="5" xfId="37967" applyNumberFormat="1" applyFont="1" applyFill="1" applyBorder="1" applyAlignment="1" applyProtection="1">
      <alignment vertical="center" wrapText="1"/>
    </xf>
    <xf numFmtId="0" fontId="145" fillId="3" borderId="5" xfId="0" applyFont="1" applyFill="1" applyBorder="1" applyAlignment="1" applyProtection="1">
      <alignment horizontal="left" vertical="center" wrapText="1"/>
    </xf>
    <xf numFmtId="206" fontId="142" fillId="3" borderId="5" xfId="34597" applyNumberFormat="1" applyFont="1" applyFill="1" applyBorder="1" applyAlignment="1" applyProtection="1">
      <alignment vertical="center" wrapText="1"/>
    </xf>
    <xf numFmtId="206" fontId="152" fillId="0" borderId="5" xfId="37967" applyNumberFormat="1" applyFont="1" applyFill="1" applyBorder="1" applyAlignment="1" applyProtection="1">
      <alignment horizontal="left" vertical="center" wrapText="1"/>
    </xf>
    <xf numFmtId="0" fontId="142" fillId="0" borderId="5" xfId="34597" applyFont="1" applyFill="1" applyBorder="1" applyAlignment="1" applyProtection="1">
      <alignment horizontal="left" vertical="center" wrapText="1"/>
    </xf>
    <xf numFmtId="0" fontId="142" fillId="0" borderId="5" xfId="34597" applyFont="1" applyFill="1" applyBorder="1" applyAlignment="1" applyProtection="1">
      <alignment vertical="center" wrapText="1"/>
    </xf>
    <xf numFmtId="0" fontId="142" fillId="0" borderId="6" xfId="37966" applyFont="1" applyFill="1" applyBorder="1" applyAlignment="1" applyProtection="1">
      <alignment vertical="center" wrapText="1"/>
    </xf>
    <xf numFmtId="0" fontId="142" fillId="3" borderId="5" xfId="34597" applyFont="1" applyFill="1" applyBorder="1" applyAlignment="1" applyProtection="1">
      <alignment vertical="center" wrapText="1"/>
    </xf>
    <xf numFmtId="0" fontId="142" fillId="0" borderId="6" xfId="37966" applyFont="1" applyFill="1" applyBorder="1" applyAlignment="1" applyProtection="1">
      <alignment horizontal="center" vertical="center" wrapText="1"/>
    </xf>
    <xf numFmtId="0" fontId="142" fillId="0" borderId="8" xfId="37966" applyFont="1" applyFill="1" applyBorder="1" applyAlignment="1" applyProtection="1">
      <alignment horizontal="left" vertical="center" wrapText="1"/>
    </xf>
    <xf numFmtId="178" fontId="142" fillId="0" borderId="5" xfId="34925" applyNumberFormat="1" applyFont="1" applyFill="1" applyBorder="1" applyAlignment="1" applyProtection="1">
      <alignment horizontal="center" vertical="center" wrapText="1"/>
    </xf>
    <xf numFmtId="178" fontId="142" fillId="3" borderId="6" xfId="37966" applyNumberFormat="1" applyFont="1" applyFill="1" applyBorder="1" applyAlignment="1" applyProtection="1">
      <alignment horizontal="left" vertical="center" wrapText="1" shrinkToFit="1"/>
    </xf>
    <xf numFmtId="0" fontId="142" fillId="3" borderId="5" xfId="34597" applyFont="1" applyFill="1" applyBorder="1" applyAlignment="1" applyProtection="1">
      <alignment horizontal="center" vertical="center" wrapText="1"/>
    </xf>
    <xf numFmtId="0" fontId="145" fillId="3" borderId="0" xfId="0" applyFont="1" applyFill="1" applyAlignment="1" applyProtection="1">
      <alignment vertical="center" wrapText="1"/>
    </xf>
    <xf numFmtId="178" fontId="142" fillId="0" borderId="6" xfId="37966" applyNumberFormat="1" applyFont="1" applyFill="1" applyBorder="1" applyAlignment="1" applyProtection="1">
      <alignment horizontal="left" vertical="center" wrapText="1"/>
    </xf>
    <xf numFmtId="0" fontId="142" fillId="0" borderId="5" xfId="35465" applyFont="1" applyFill="1" applyBorder="1" applyAlignment="1" applyProtection="1">
      <alignment horizontal="left" vertical="center" wrapText="1"/>
    </xf>
    <xf numFmtId="0" fontId="145" fillId="0" borderId="5" xfId="35465" applyFont="1" applyFill="1" applyBorder="1" applyAlignment="1" applyProtection="1">
      <alignment vertical="center" wrapText="1"/>
    </xf>
    <xf numFmtId="178" fontId="142" fillId="0" borderId="5" xfId="37975" applyNumberFormat="1" applyFont="1" applyFill="1" applyBorder="1" applyAlignment="1" applyProtection="1">
      <alignment horizontal="center" vertical="center" wrapText="1"/>
    </xf>
    <xf numFmtId="0" fontId="142" fillId="0" borderId="7" xfId="37966" applyFont="1" applyFill="1" applyBorder="1" applyAlignment="1" applyProtection="1">
      <alignment horizontal="left" vertical="center" wrapText="1"/>
    </xf>
    <xf numFmtId="0" fontId="142" fillId="0" borderId="7" xfId="37966" applyFont="1" applyFill="1" applyBorder="1" applyAlignment="1" applyProtection="1">
      <alignment horizontal="center" vertical="center" wrapText="1"/>
    </xf>
    <xf numFmtId="0" fontId="142" fillId="0" borderId="5" xfId="0" applyFont="1" applyFill="1" applyBorder="1" applyAlignment="1" applyProtection="1">
      <alignment horizontal="center" vertical="center" wrapText="1"/>
    </xf>
    <xf numFmtId="206" fontId="142" fillId="0" borderId="5" xfId="0" applyNumberFormat="1" applyFont="1" applyFill="1" applyBorder="1" applyAlignment="1" applyProtection="1">
      <alignment horizontal="left" vertical="center" wrapText="1"/>
    </xf>
    <xf numFmtId="0" fontId="142" fillId="3" borderId="5" xfId="0" applyFont="1" applyFill="1" applyBorder="1" applyAlignment="1" applyProtection="1">
      <alignment horizontal="center" vertical="center" wrapText="1"/>
    </xf>
    <xf numFmtId="0" fontId="142" fillId="3" borderId="5" xfId="0" applyFont="1" applyFill="1" applyBorder="1" applyAlignment="1" applyProtection="1">
      <alignment horizontal="left" vertical="center" wrapText="1"/>
    </xf>
    <xf numFmtId="206" fontId="142" fillId="3" borderId="5" xfId="0" applyNumberFormat="1" applyFont="1" applyFill="1" applyBorder="1" applyAlignment="1" applyProtection="1">
      <alignment horizontal="left" vertical="center" wrapText="1"/>
    </xf>
    <xf numFmtId="178" fontId="142" fillId="0" borderId="6" xfId="37966" applyNumberFormat="1" applyFont="1" applyFill="1" applyBorder="1" applyAlignment="1" applyProtection="1">
      <alignment horizontal="left" vertical="center" wrapText="1" shrinkToFit="1"/>
    </xf>
    <xf numFmtId="0" fontId="152" fillId="0" borderId="5" xfId="0" applyFont="1" applyFill="1" applyBorder="1" applyAlignment="1" applyProtection="1">
      <alignment horizontal="left" vertical="center" wrapText="1"/>
    </xf>
    <xf numFmtId="206" fontId="152" fillId="0" borderId="5" xfId="0" applyNumberFormat="1" applyFont="1" applyFill="1" applyBorder="1" applyAlignment="1" applyProtection="1">
      <alignment horizontal="center" vertical="center" wrapText="1"/>
    </xf>
    <xf numFmtId="10" fontId="142" fillId="0" borderId="5" xfId="0" applyNumberFormat="1" applyFont="1" applyFill="1" applyBorder="1" applyAlignment="1" applyProtection="1">
      <alignment horizontal="center" vertical="center" wrapText="1"/>
    </xf>
    <xf numFmtId="178" fontId="142" fillId="0" borderId="6" xfId="34597" applyNumberFormat="1" applyFont="1" applyFill="1" applyBorder="1" applyAlignment="1" applyProtection="1">
      <alignment horizontal="left" vertical="center" wrapText="1"/>
    </xf>
    <xf numFmtId="0" fontId="142" fillId="0" borderId="6" xfId="34925" applyFont="1" applyFill="1" applyBorder="1" applyAlignment="1" applyProtection="1">
      <alignment horizontal="center" vertical="center" wrapText="1"/>
    </xf>
    <xf numFmtId="0" fontId="142" fillId="0" borderId="5" xfId="34925" applyFont="1" applyFill="1" applyBorder="1" applyAlignment="1" applyProtection="1">
      <alignment horizontal="center" vertical="center" wrapText="1"/>
    </xf>
    <xf numFmtId="2" fontId="142" fillId="0" borderId="6" xfId="37966" applyNumberFormat="1" applyFont="1" applyFill="1" applyBorder="1" applyAlignment="1" applyProtection="1">
      <alignment horizontal="left" vertical="center" wrapText="1" shrinkToFit="1"/>
    </xf>
    <xf numFmtId="178" fontId="142" fillId="0" borderId="5" xfId="34597" applyNumberFormat="1" applyFont="1" applyFill="1" applyBorder="1" applyAlignment="1" applyProtection="1">
      <alignment horizontal="center" vertical="center" wrapText="1"/>
    </xf>
    <xf numFmtId="0" fontId="142" fillId="0" borderId="5" xfId="34597" applyFont="1" applyFill="1" applyBorder="1" applyAlignment="1" applyProtection="1">
      <alignment horizontal="center" vertical="center" wrapText="1"/>
    </xf>
    <xf numFmtId="0" fontId="142" fillId="0" borderId="5" xfId="37966" applyFont="1" applyFill="1" applyBorder="1" applyAlignment="1" applyProtection="1">
      <alignment horizontal="left" vertical="top" wrapText="1"/>
    </xf>
    <xf numFmtId="199" fontId="152" fillId="0" borderId="5" xfId="37966" applyNumberFormat="1" applyFont="1" applyFill="1" applyBorder="1" applyAlignment="1" applyProtection="1">
      <alignment horizontal="center" vertical="center" wrapText="1"/>
    </xf>
    <xf numFmtId="0" fontId="143" fillId="0" borderId="5" xfId="34597" applyFont="1" applyFill="1" applyBorder="1" applyAlignment="1" applyProtection="1">
      <alignment vertical="center" wrapText="1"/>
    </xf>
    <xf numFmtId="206" fontId="142" fillId="0" borderId="5" xfId="37969" applyNumberFormat="1" applyFont="1" applyFill="1" applyBorder="1" applyAlignment="1" applyProtection="1">
      <alignment horizontal="center" vertical="center" wrapText="1"/>
    </xf>
    <xf numFmtId="0" fontId="142" fillId="0" borderId="5" xfId="37969" applyFont="1" applyFill="1" applyBorder="1" applyAlignment="1" applyProtection="1">
      <alignment horizontal="center" vertical="center" wrapText="1"/>
    </xf>
    <xf numFmtId="0" fontId="145" fillId="0" borderId="5" xfId="0" applyFont="1" applyBorder="1" applyAlignment="1" applyProtection="1">
      <alignment vertical="center" wrapText="1"/>
    </xf>
    <xf numFmtId="206" fontId="142" fillId="0" borderId="5" xfId="2292" applyNumberFormat="1" applyFont="1" applyFill="1" applyAlignment="1" applyProtection="1">
      <alignment horizontal="left" vertical="center" wrapText="1"/>
    </xf>
    <xf numFmtId="206" fontId="142" fillId="0" borderId="5" xfId="34331" applyNumberFormat="1" applyFont="1" applyFill="1" applyBorder="1" applyAlignment="1" applyProtection="1">
      <alignment horizontal="left" vertical="center" wrapText="1"/>
    </xf>
    <xf numFmtId="206" fontId="152" fillId="0" borderId="5" xfId="2292" applyNumberFormat="1" applyFont="1" applyFill="1" applyAlignment="1" applyProtection="1">
      <alignment horizontal="left" vertical="center" wrapText="1"/>
    </xf>
    <xf numFmtId="206" fontId="152" fillId="0" borderId="5" xfId="37969" applyNumberFormat="1" applyFont="1" applyFill="1" applyBorder="1" applyAlignment="1" applyProtection="1">
      <alignment horizontal="center" vertical="center" wrapText="1"/>
    </xf>
    <xf numFmtId="10" fontId="142" fillId="0" borderId="5" xfId="37969" applyNumberFormat="1" applyFont="1" applyFill="1" applyBorder="1" applyAlignment="1" applyProtection="1">
      <alignment horizontal="center" vertical="center" wrapText="1"/>
    </xf>
    <xf numFmtId="0" fontId="142" fillId="0" borderId="6" xfId="34597" applyFont="1" applyFill="1" applyBorder="1" applyAlignment="1" applyProtection="1">
      <alignment vertical="center" wrapText="1"/>
    </xf>
    <xf numFmtId="0" fontId="142" fillId="0" borderId="7" xfId="34597" applyFont="1" applyFill="1" applyBorder="1" applyAlignment="1" applyProtection="1">
      <alignment vertical="center" wrapText="1"/>
    </xf>
    <xf numFmtId="0" fontId="152" fillId="0" borderId="7" xfId="34597" applyFont="1" applyFill="1" applyBorder="1" applyAlignment="1" applyProtection="1">
      <alignment vertical="center" wrapText="1"/>
    </xf>
    <xf numFmtId="0" fontId="142" fillId="0" borderId="7" xfId="34597" applyFont="1" applyFill="1" applyBorder="1" applyAlignment="1" applyProtection="1">
      <alignment horizontal="center" vertical="center" wrapText="1"/>
    </xf>
    <xf numFmtId="0" fontId="142" fillId="0" borderId="8" xfId="34597" applyFont="1" applyFill="1" applyBorder="1" applyAlignment="1" applyProtection="1">
      <alignment horizontal="center" vertical="center" wrapText="1"/>
    </xf>
    <xf numFmtId="206" fontId="152" fillId="0" borderId="5" xfId="34597" applyNumberFormat="1" applyFont="1" applyFill="1" applyBorder="1" applyAlignment="1" applyProtection="1">
      <alignment horizontal="center" vertical="center" wrapText="1"/>
    </xf>
    <xf numFmtId="10" fontId="142" fillId="0" borderId="5" xfId="34597" applyNumberFormat="1" applyFont="1" applyFill="1" applyBorder="1" applyAlignment="1" applyProtection="1">
      <alignment horizontal="center" vertical="center" wrapText="1"/>
    </xf>
    <xf numFmtId="10" fontId="142" fillId="4" borderId="5" xfId="35449" applyNumberFormat="1" applyFont="1" applyFill="1" applyBorder="1" applyAlignment="1" applyProtection="1">
      <alignment horizontal="center" vertical="center" wrapText="1"/>
      <protection locked="0"/>
    </xf>
    <xf numFmtId="10" fontId="142" fillId="4" borderId="5" xfId="37969" applyNumberFormat="1" applyFont="1" applyFill="1" applyBorder="1" applyAlignment="1" applyProtection="1">
      <alignment horizontal="center" vertical="center" wrapText="1"/>
      <protection locked="0"/>
    </xf>
    <xf numFmtId="10" fontId="156" fillId="4" borderId="5" xfId="33708" applyNumberFormat="1" applyFont="1" applyFill="1" applyBorder="1" applyAlignment="1" applyProtection="1">
      <alignment horizontal="center" vertical="center" wrapText="1"/>
      <protection locked="0"/>
    </xf>
    <xf numFmtId="10" fontId="142" fillId="4" borderId="5" xfId="37966" applyNumberFormat="1" applyFont="1" applyFill="1" applyBorder="1" applyAlignment="1" applyProtection="1">
      <alignment horizontal="left" vertical="center" wrapText="1"/>
      <protection locked="0"/>
    </xf>
    <xf numFmtId="10" fontId="142" fillId="4" borderId="5" xfId="0" applyNumberFormat="1" applyFont="1" applyFill="1" applyBorder="1" applyAlignment="1" applyProtection="1">
      <alignment horizontal="center" vertical="center" wrapText="1"/>
      <protection locked="0"/>
    </xf>
    <xf numFmtId="10" fontId="142" fillId="4" borderId="5" xfId="34597" applyNumberFormat="1" applyFont="1" applyFill="1" applyBorder="1" applyAlignment="1" applyProtection="1">
      <alignment horizontal="center" vertical="center" wrapText="1"/>
      <protection locked="0"/>
    </xf>
    <xf numFmtId="206" fontId="114" fillId="0" borderId="5" xfId="37966" applyNumberFormat="1" applyFont="1" applyFill="1" applyBorder="1" applyAlignment="1" applyProtection="1">
      <alignment horizontal="center" vertical="center" wrapText="1"/>
    </xf>
    <xf numFmtId="178" fontId="114" fillId="0" borderId="5" xfId="37974" applyNumberFormat="1" applyFont="1" applyFill="1" applyBorder="1" applyAlignment="1" applyProtection="1">
      <alignment horizontal="center" vertical="center" wrapText="1"/>
    </xf>
    <xf numFmtId="206" fontId="114" fillId="0" borderId="5" xfId="37974" applyNumberFormat="1" applyFont="1" applyFill="1" applyBorder="1" applyAlignment="1" applyProtection="1">
      <alignment horizontal="center" vertical="center" wrapText="1"/>
    </xf>
    <xf numFmtId="206" fontId="117" fillId="0" borderId="5" xfId="37966" applyNumberFormat="1" applyFont="1" applyFill="1" applyBorder="1" applyAlignment="1" applyProtection="1">
      <alignment horizontal="center" vertical="center" wrapText="1"/>
    </xf>
    <xf numFmtId="10" fontId="158" fillId="0" borderId="5" xfId="34982" applyNumberFormat="1" applyFont="1" applyFill="1" applyBorder="1" applyAlignment="1" applyProtection="1">
      <alignment horizontal="center" vertical="center" wrapText="1"/>
    </xf>
    <xf numFmtId="178" fontId="117" fillId="0" borderId="5" xfId="37974" applyNumberFormat="1" applyFont="1" applyFill="1" applyBorder="1" applyAlignment="1" applyProtection="1">
      <alignment horizontal="center" vertical="center"/>
    </xf>
    <xf numFmtId="178" fontId="117" fillId="0" borderId="5" xfId="37974" applyNumberFormat="1" applyFont="1" applyFill="1" applyBorder="1" applyAlignment="1" applyProtection="1">
      <alignment horizontal="center" vertical="center" wrapText="1"/>
    </xf>
    <xf numFmtId="206" fontId="117" fillId="0" borderId="5" xfId="37974" applyNumberFormat="1" applyFont="1" applyFill="1" applyBorder="1" applyAlignment="1" applyProtection="1">
      <alignment horizontal="center" vertical="center"/>
    </xf>
    <xf numFmtId="10" fontId="114" fillId="0" borderId="5" xfId="34982" applyNumberFormat="1" applyFont="1" applyFill="1" applyBorder="1" applyAlignment="1" applyProtection="1">
      <alignment horizontal="center" vertical="center" wrapText="1"/>
    </xf>
    <xf numFmtId="2" fontId="142" fillId="0" borderId="5" xfId="37966" applyNumberFormat="1" applyFont="1" applyFill="1" applyBorder="1" applyAlignment="1" applyProtection="1">
      <alignment horizontal="center" vertical="center" wrapText="1"/>
    </xf>
    <xf numFmtId="2" fontId="142" fillId="0" borderId="5" xfId="37966" applyNumberFormat="1" applyFont="1" applyFill="1" applyBorder="1" applyAlignment="1" applyProtection="1">
      <alignment horizontal="left" vertical="center" wrapText="1" shrinkToFit="1"/>
    </xf>
    <xf numFmtId="9" fontId="142" fillId="0" borderId="5" xfId="24" applyFont="1" applyFill="1" applyBorder="1" applyAlignment="1" applyProtection="1">
      <alignment horizontal="left" vertical="center" wrapText="1"/>
    </xf>
    <xf numFmtId="9" fontId="142" fillId="0" borderId="5" xfId="24" applyFont="1" applyFill="1" applyBorder="1" applyAlignment="1" applyProtection="1">
      <alignment horizontal="left" vertical="center" wrapText="1" shrinkToFit="1"/>
    </xf>
    <xf numFmtId="178" fontId="152" fillId="0" borderId="5" xfId="37966" applyNumberFormat="1" applyFont="1" applyFill="1" applyBorder="1" applyAlignment="1" applyProtection="1">
      <alignment horizontal="center" vertical="center" wrapText="1"/>
    </xf>
    <xf numFmtId="178" fontId="142" fillId="0" borderId="3" xfId="37966" applyNumberFormat="1" applyFont="1" applyFill="1" applyBorder="1" applyAlignment="1" applyProtection="1">
      <alignment horizontal="center" vertical="center" wrapText="1" shrinkToFit="1"/>
    </xf>
    <xf numFmtId="2" fontId="142" fillId="0" borderId="3" xfId="37966" applyNumberFormat="1" applyFont="1" applyFill="1" applyBorder="1" applyAlignment="1" applyProtection="1">
      <alignment horizontal="left" vertical="center" wrapText="1" shrinkToFit="1"/>
    </xf>
    <xf numFmtId="214" fontId="142" fillId="0" borderId="3" xfId="37966" applyNumberFormat="1" applyFont="1" applyFill="1" applyBorder="1" applyAlignment="1" applyProtection="1">
      <alignment horizontal="center" vertical="center" wrapText="1" shrinkToFit="1"/>
    </xf>
    <xf numFmtId="0" fontId="145" fillId="0" borderId="5" xfId="0" applyFont="1" applyFill="1" applyBorder="1" applyAlignment="1" applyProtection="1">
      <alignment horizontal="left" vertical="center" wrapText="1"/>
    </xf>
    <xf numFmtId="178" fontId="142" fillId="0" borderId="5" xfId="37966" applyNumberFormat="1" applyFont="1" applyFill="1" applyBorder="1" applyAlignment="1" applyProtection="1">
      <alignment horizontal="left" vertical="center" wrapText="1" shrinkToFit="1"/>
    </xf>
    <xf numFmtId="206" fontId="142" fillId="0" borderId="5" xfId="34597" applyNumberFormat="1" applyFont="1" applyFill="1" applyBorder="1" applyAlignment="1" applyProtection="1">
      <alignment horizontal="left" vertical="center" wrapText="1"/>
    </xf>
    <xf numFmtId="2" fontId="142" fillId="0" borderId="6" xfId="37966" applyNumberFormat="1" applyFont="1" applyFill="1" applyBorder="1" applyAlignment="1" applyProtection="1">
      <alignment horizontal="center" vertical="center" wrapText="1"/>
    </xf>
    <xf numFmtId="0" fontId="142" fillId="0" borderId="5" xfId="37970" applyFont="1" applyFill="1" applyBorder="1" applyAlignment="1" applyProtection="1">
      <alignment horizontal="center" vertical="center" wrapText="1"/>
    </xf>
    <xf numFmtId="0" fontId="142" fillId="0" borderId="3" xfId="37966" applyFont="1" applyFill="1" applyBorder="1" applyAlignment="1" applyProtection="1">
      <alignment horizontal="left" vertical="center" wrapText="1"/>
    </xf>
    <xf numFmtId="0" fontId="145" fillId="0" borderId="3" xfId="34597" applyFont="1" applyFill="1" applyBorder="1" applyAlignment="1" applyProtection="1">
      <alignment wrapText="1"/>
    </xf>
    <xf numFmtId="0" fontId="145" fillId="0" borderId="5" xfId="34597" applyFont="1" applyFill="1" applyBorder="1" applyAlignment="1" applyProtection="1">
      <alignment wrapText="1"/>
    </xf>
    <xf numFmtId="178" fontId="142" fillId="0" borderId="16" xfId="34925" applyNumberFormat="1" applyFont="1" applyFill="1" applyBorder="1" applyAlignment="1" applyProtection="1">
      <alignment horizontal="center" vertical="center" wrapText="1"/>
    </xf>
    <xf numFmtId="178" fontId="142" fillId="0" borderId="5" xfId="34925" applyNumberFormat="1" applyFont="1" applyFill="1" applyBorder="1" applyAlignment="1" applyProtection="1">
      <alignment horizontal="left" vertical="center" wrapText="1"/>
    </xf>
    <xf numFmtId="0" fontId="145" fillId="0" borderId="16" xfId="0" applyFont="1" applyFill="1" applyBorder="1" applyAlignment="1" applyProtection="1">
      <alignment vertical="center" wrapText="1"/>
    </xf>
    <xf numFmtId="0" fontId="152" fillId="0" borderId="5" xfId="0" applyFont="1" applyFill="1" applyBorder="1" applyAlignment="1" applyProtection="1">
      <alignment horizontal="center" vertical="center" wrapText="1"/>
    </xf>
    <xf numFmtId="178" fontId="152" fillId="0" borderId="5" xfId="0" applyNumberFormat="1" applyFont="1" applyFill="1" applyBorder="1" applyAlignment="1" applyProtection="1">
      <alignment horizontal="center" vertical="center" wrapText="1"/>
    </xf>
    <xf numFmtId="0" fontId="152" fillId="0" borderId="3" xfId="0" applyFont="1" applyFill="1" applyBorder="1" applyAlignment="1" applyProtection="1">
      <alignment horizontal="center" vertical="center" wrapText="1"/>
    </xf>
    <xf numFmtId="0" fontId="142" fillId="0" borderId="3" xfId="0" applyFont="1" applyFill="1" applyBorder="1" applyAlignment="1" applyProtection="1">
      <alignment horizontal="center" vertical="center" wrapText="1"/>
    </xf>
    <xf numFmtId="0" fontId="145" fillId="0" borderId="5" xfId="35465" applyFont="1" applyFill="1" applyBorder="1" applyAlignment="1" applyProtection="1">
      <alignment horizontal="left" vertical="center" wrapText="1"/>
    </xf>
    <xf numFmtId="178" fontId="155" fillId="0" borderId="5" xfId="0" applyNumberFormat="1" applyFont="1" applyFill="1" applyBorder="1" applyAlignment="1" applyProtection="1">
      <alignment horizontal="center" vertical="center" wrapText="1"/>
    </xf>
    <xf numFmtId="206" fontId="155" fillId="0" borderId="5" xfId="0" applyNumberFormat="1" applyFont="1" applyFill="1" applyBorder="1" applyAlignment="1" applyProtection="1">
      <alignment horizontal="center" vertical="center" wrapText="1"/>
    </xf>
    <xf numFmtId="206" fontId="155" fillId="0" borderId="5" xfId="0" applyNumberFormat="1" applyFont="1" applyFill="1" applyBorder="1" applyAlignment="1" applyProtection="1">
      <alignment horizontal="left" vertical="center" wrapText="1"/>
    </xf>
    <xf numFmtId="0" fontId="145" fillId="0" borderId="0" xfId="0" applyFont="1" applyFill="1" applyAlignment="1" applyProtection="1">
      <alignment vertical="center" wrapText="1"/>
    </xf>
    <xf numFmtId="178" fontId="142" fillId="0" borderId="5" xfId="0" applyNumberFormat="1" applyFont="1" applyFill="1" applyBorder="1" applyAlignment="1" applyProtection="1">
      <alignment horizontal="center" vertical="center" wrapText="1"/>
    </xf>
    <xf numFmtId="0" fontId="145" fillId="0" borderId="0" xfId="0" applyFont="1" applyAlignment="1" applyProtection="1">
      <alignment vertical="center" wrapText="1"/>
    </xf>
    <xf numFmtId="0" fontId="145" fillId="0" borderId="5" xfId="0" applyFont="1" applyFill="1" applyBorder="1" applyAlignment="1" applyProtection="1">
      <alignment horizontal="center" vertical="center" wrapText="1"/>
    </xf>
    <xf numFmtId="0" fontId="155" fillId="0" borderId="5" xfId="0" applyFont="1" applyFill="1" applyBorder="1" applyAlignment="1" applyProtection="1">
      <alignment horizontal="left" vertical="center" wrapText="1"/>
    </xf>
    <xf numFmtId="0" fontId="142" fillId="0" borderId="5" xfId="34925" applyFont="1" applyFill="1" applyBorder="1" applyAlignment="1" applyProtection="1">
      <alignment horizontal="left" vertical="center" wrapText="1"/>
    </xf>
    <xf numFmtId="0" fontId="142" fillId="0" borderId="5" xfId="37968" applyFont="1" applyFill="1" applyBorder="1" applyAlignment="1" applyProtection="1">
      <alignment horizontal="left" vertical="center" wrapText="1"/>
    </xf>
    <xf numFmtId="0" fontId="142" fillId="0" borderId="5" xfId="37968" applyFont="1" applyFill="1" applyBorder="1" applyAlignment="1" applyProtection="1">
      <alignment vertical="top" wrapText="1"/>
    </xf>
    <xf numFmtId="0" fontId="142" fillId="0" borderId="5" xfId="37968" applyFont="1" applyFill="1" applyBorder="1" applyAlignment="1" applyProtection="1">
      <alignment vertical="center" wrapText="1"/>
    </xf>
    <xf numFmtId="0" fontId="143" fillId="0" borderId="5" xfId="35465" applyFont="1" applyFill="1" applyBorder="1" applyAlignment="1" applyProtection="1">
      <alignment horizontal="left" vertical="center" wrapText="1"/>
    </xf>
    <xf numFmtId="49" fontId="142" fillId="0" borderId="5" xfId="37968" applyNumberFormat="1" applyFont="1" applyFill="1" applyBorder="1" applyAlignment="1" applyProtection="1">
      <alignment horizontal="center" vertical="center" wrapText="1"/>
    </xf>
    <xf numFmtId="0" fontId="145" fillId="0" borderId="5" xfId="35465" applyFont="1" applyFill="1" applyBorder="1" applyAlignment="1" applyProtection="1">
      <alignment horizontal="center" vertical="center" wrapText="1"/>
    </xf>
    <xf numFmtId="0" fontId="143" fillId="0" borderId="5" xfId="35465" applyFont="1" applyFill="1" applyBorder="1" applyAlignment="1" applyProtection="1">
      <alignment horizontal="left" vertical="top" wrapText="1"/>
    </xf>
    <xf numFmtId="49" fontId="142" fillId="0" borderId="5" xfId="37968" applyNumberFormat="1" applyFont="1" applyFill="1" applyBorder="1" applyAlignment="1" applyProtection="1">
      <alignment horizontal="left" vertical="center" wrapText="1"/>
    </xf>
    <xf numFmtId="0" fontId="142" fillId="0" borderId="5" xfId="37968" applyFont="1" applyFill="1" applyBorder="1" applyAlignment="1" applyProtection="1">
      <alignment horizontal="center" vertical="center" wrapText="1"/>
    </xf>
    <xf numFmtId="49" fontId="142" fillId="0" borderId="5" xfId="37968" applyNumberFormat="1" applyFont="1" applyFill="1" applyBorder="1" applyAlignment="1" applyProtection="1">
      <alignment horizontal="left" vertical="top" wrapText="1"/>
    </xf>
    <xf numFmtId="49" fontId="145" fillId="0" borderId="5" xfId="0" applyNumberFormat="1" applyFont="1" applyFill="1" applyBorder="1" applyAlignment="1" applyProtection="1">
      <alignment horizontal="left" vertical="center" wrapText="1"/>
    </xf>
    <xf numFmtId="0" fontId="152" fillId="0" borderId="5" xfId="34597" applyFont="1" applyFill="1" applyBorder="1" applyAlignment="1" applyProtection="1">
      <alignment horizontal="left" vertical="center" wrapText="1"/>
    </xf>
    <xf numFmtId="178" fontId="148" fillId="0" borderId="5" xfId="0" applyNumberFormat="1" applyFont="1" applyFill="1" applyBorder="1" applyAlignment="1" applyProtection="1">
      <alignment horizontal="center" vertical="center" wrapText="1"/>
    </xf>
    <xf numFmtId="0" fontId="152" fillId="0" borderId="5" xfId="34597" applyFont="1" applyFill="1" applyBorder="1" applyAlignment="1" applyProtection="1">
      <alignment horizontal="center" vertical="center" wrapText="1"/>
    </xf>
    <xf numFmtId="206" fontId="142" fillId="0" borderId="5" xfId="0" applyNumberFormat="1" applyFont="1" applyFill="1" applyBorder="1" applyAlignment="1" applyProtection="1">
      <alignment horizontal="center" vertical="center" wrapText="1"/>
    </xf>
    <xf numFmtId="0" fontId="142" fillId="0" borderId="5" xfId="0" applyFont="1" applyFill="1" applyBorder="1" applyAlignment="1" applyProtection="1">
      <alignment vertical="center" wrapText="1"/>
    </xf>
    <xf numFmtId="0" fontId="152" fillId="0" borderId="7" xfId="34597" applyFont="1" applyFill="1" applyBorder="1" applyAlignment="1" applyProtection="1">
      <alignment horizontal="left" vertical="center" wrapText="1"/>
    </xf>
    <xf numFmtId="178" fontId="152" fillId="0" borderId="5" xfId="34597" applyNumberFormat="1" applyFont="1" applyFill="1" applyBorder="1" applyAlignment="1" applyProtection="1">
      <alignment horizontal="center" vertical="center" wrapText="1"/>
    </xf>
    <xf numFmtId="0" fontId="116" fillId="0" borderId="5" xfId="0" applyFont="1" applyFill="1" applyBorder="1" applyAlignment="1" applyProtection="1">
      <alignment horizontal="center" vertical="center" wrapText="1"/>
    </xf>
    <xf numFmtId="0" fontId="142" fillId="0" borderId="14" xfId="35284" applyFont="1" applyFill="1" applyBorder="1" applyAlignment="1" applyProtection="1">
      <alignment horizontal="left" vertical="center" wrapText="1"/>
    </xf>
    <xf numFmtId="214" fontId="145" fillId="0" borderId="5" xfId="0" applyNumberFormat="1" applyFont="1" applyFill="1" applyBorder="1" applyAlignment="1" applyProtection="1">
      <alignment horizontal="center" vertical="center" wrapText="1"/>
    </xf>
    <xf numFmtId="0" fontId="148" fillId="0" borderId="5" xfId="0" applyFont="1" applyFill="1" applyBorder="1" applyAlignment="1" applyProtection="1">
      <alignment vertical="center" wrapText="1"/>
    </xf>
    <xf numFmtId="178" fontId="145" fillId="0" borderId="5" xfId="0" applyNumberFormat="1" applyFont="1" applyFill="1" applyBorder="1" applyAlignment="1" applyProtection="1">
      <alignment horizontal="center" vertical="center" wrapText="1"/>
    </xf>
    <xf numFmtId="9" fontId="142" fillId="0" borderId="14" xfId="24" applyFont="1" applyFill="1" applyBorder="1" applyAlignment="1" applyProtection="1">
      <alignment horizontal="left" vertical="center" wrapText="1"/>
    </xf>
    <xf numFmtId="9" fontId="142" fillId="0" borderId="5" xfId="24" applyFont="1" applyFill="1" applyBorder="1" applyAlignment="1" applyProtection="1">
      <alignment vertical="center" wrapText="1"/>
    </xf>
    <xf numFmtId="9" fontId="142" fillId="0" borderId="5" xfId="24" applyFont="1" applyFill="1" applyBorder="1" applyAlignment="1" applyProtection="1">
      <alignment horizontal="center" vertical="center" wrapText="1"/>
    </xf>
    <xf numFmtId="214" fontId="145" fillId="0" borderId="15" xfId="0" applyNumberFormat="1" applyFont="1" applyFill="1" applyBorder="1" applyAlignment="1" applyProtection="1">
      <alignment horizontal="center" vertical="center" wrapText="1"/>
    </xf>
    <xf numFmtId="0" fontId="148" fillId="0" borderId="5" xfId="0" applyFont="1" applyFill="1" applyBorder="1" applyAlignment="1" applyProtection="1">
      <alignment horizontal="center" vertical="center" wrapText="1"/>
    </xf>
    <xf numFmtId="0" fontId="152" fillId="0" borderId="5" xfId="0" applyFont="1" applyFill="1" applyBorder="1" applyAlignment="1" applyProtection="1">
      <alignment vertical="center" wrapText="1"/>
    </xf>
    <xf numFmtId="0" fontId="148" fillId="0" borderId="6" xfId="0" applyFont="1" applyFill="1" applyBorder="1" applyAlignment="1" applyProtection="1">
      <alignment vertical="center" wrapText="1"/>
    </xf>
    <xf numFmtId="0" fontId="148" fillId="0" borderId="7" xfId="0" applyFont="1" applyFill="1" applyBorder="1" applyAlignment="1" applyProtection="1">
      <alignment vertical="center" wrapText="1"/>
    </xf>
    <xf numFmtId="0" fontId="148" fillId="0" borderId="8" xfId="0" applyFont="1" applyFill="1" applyBorder="1" applyAlignment="1" applyProtection="1">
      <alignment vertical="center" wrapText="1"/>
    </xf>
    <xf numFmtId="206" fontId="145" fillId="0" borderId="5" xfId="0" applyNumberFormat="1" applyFont="1" applyFill="1" applyBorder="1" applyAlignment="1" applyProtection="1">
      <alignment horizontal="center" vertical="center" wrapText="1"/>
    </xf>
    <xf numFmtId="214" fontId="145" fillId="0" borderId="16" xfId="0" applyNumberFormat="1" applyFont="1" applyFill="1" applyBorder="1" applyAlignment="1" applyProtection="1">
      <alignment horizontal="center" vertical="center" wrapText="1"/>
    </xf>
    <xf numFmtId="0" fontId="142" fillId="0" borderId="43" xfId="35284" applyFont="1" applyFill="1" applyBorder="1" applyAlignment="1" applyProtection="1">
      <alignment horizontal="left" vertical="center" wrapText="1"/>
    </xf>
    <xf numFmtId="0" fontId="145" fillId="0" borderId="2" xfId="0" applyFont="1" applyFill="1" applyBorder="1" applyAlignment="1" applyProtection="1">
      <alignment vertical="center" wrapText="1"/>
    </xf>
    <xf numFmtId="0" fontId="145" fillId="0" borderId="2" xfId="0" applyFont="1" applyFill="1" applyBorder="1" applyAlignment="1" applyProtection="1">
      <alignment horizontal="center" vertical="center" wrapText="1"/>
    </xf>
    <xf numFmtId="178" fontId="145" fillId="0" borderId="2" xfId="0" applyNumberFormat="1" applyFont="1" applyFill="1" applyBorder="1" applyAlignment="1" applyProtection="1">
      <alignment horizontal="center" vertical="center" wrapText="1"/>
    </xf>
    <xf numFmtId="0" fontId="145" fillId="0" borderId="6" xfId="0" applyFont="1" applyFill="1" applyBorder="1" applyAlignment="1" applyProtection="1">
      <alignment horizontal="center" vertical="center" wrapText="1"/>
    </xf>
    <xf numFmtId="0" fontId="145" fillId="0" borderId="7" xfId="0" applyFont="1" applyFill="1" applyBorder="1" applyAlignment="1" applyProtection="1">
      <alignment horizontal="center" vertical="center" wrapText="1"/>
    </xf>
    <xf numFmtId="0" fontId="145" fillId="0" borderId="7" xfId="0" applyFont="1" applyFill="1" applyBorder="1" applyAlignment="1" applyProtection="1">
      <alignment vertical="center" wrapText="1"/>
    </xf>
    <xf numFmtId="0" fontId="145" fillId="0" borderId="8" xfId="0" applyFont="1" applyFill="1" applyBorder="1" applyAlignment="1" applyProtection="1">
      <alignment horizontal="center" vertical="center" wrapText="1"/>
    </xf>
    <xf numFmtId="10" fontId="145" fillId="2" borderId="5" xfId="0" applyNumberFormat="1" applyFont="1" applyFill="1" applyBorder="1" applyAlignment="1" applyProtection="1">
      <alignment horizontal="center" vertical="center" wrapText="1"/>
      <protection locked="0"/>
    </xf>
    <xf numFmtId="10" fontId="145" fillId="0" borderId="5" xfId="0" applyNumberFormat="1" applyFont="1" applyFill="1" applyBorder="1" applyAlignment="1" applyProtection="1">
      <alignment horizontal="center" vertical="center" wrapText="1"/>
    </xf>
    <xf numFmtId="10" fontId="145" fillId="4" borderId="5" xfId="0" applyNumberFormat="1" applyFont="1" applyFill="1" applyBorder="1" applyAlignment="1" applyProtection="1">
      <alignment horizontal="center" vertical="center" wrapText="1"/>
      <protection locked="0"/>
    </xf>
    <xf numFmtId="0" fontId="111" fillId="0" borderId="0" xfId="34989" applyFont="1" applyFill="1" applyAlignment="1">
      <alignment horizontal="center" vertical="center" wrapText="1"/>
    </xf>
    <xf numFmtId="0" fontId="111" fillId="0" borderId="0" xfId="34989" applyFont="1" applyFill="1" applyAlignment="1">
      <alignment horizontal="left" vertical="center" wrapText="1"/>
    </xf>
    <xf numFmtId="206" fontId="111" fillId="0" borderId="0" xfId="34989" applyNumberFormat="1" applyFont="1" applyFill="1" applyAlignment="1">
      <alignment horizontal="center" vertical="center" wrapText="1"/>
    </xf>
    <xf numFmtId="0" fontId="160" fillId="0" borderId="5" xfId="34989" applyFont="1" applyFill="1" applyBorder="1" applyAlignment="1" applyProtection="1">
      <alignment horizontal="center" vertical="center" wrapText="1"/>
    </xf>
    <xf numFmtId="206" fontId="111" fillId="0" borderId="5" xfId="34989" applyNumberFormat="1" applyFont="1" applyFill="1" applyBorder="1" applyAlignment="1" applyProtection="1">
      <alignment horizontal="center" vertical="center" wrapText="1"/>
    </xf>
    <xf numFmtId="0" fontId="111" fillId="0" borderId="5" xfId="37966" applyFont="1" applyFill="1" applyBorder="1" applyAlignment="1" applyProtection="1">
      <alignment horizontal="left" vertical="center" wrapText="1"/>
    </xf>
    <xf numFmtId="0" fontId="114" fillId="0" borderId="5" xfId="37966" applyFont="1" applyFill="1" applyBorder="1" applyAlignment="1" applyProtection="1">
      <alignment horizontal="left" vertical="center" wrapText="1"/>
    </xf>
    <xf numFmtId="206" fontId="161" fillId="0" borderId="5" xfId="34989" applyNumberFormat="1" applyFont="1" applyFill="1" applyBorder="1" applyAlignment="1" applyProtection="1">
      <alignment horizontal="center" vertical="center" wrapText="1"/>
    </xf>
    <xf numFmtId="206" fontId="111" fillId="0" borderId="5" xfId="0" applyNumberFormat="1" applyFont="1" applyFill="1" applyBorder="1" applyAlignment="1" applyProtection="1">
      <alignment horizontal="center" vertical="center" wrapText="1"/>
    </xf>
    <xf numFmtId="0" fontId="111" fillId="0" borderId="5" xfId="0" applyFont="1" applyFill="1" applyBorder="1" applyAlignment="1" applyProtection="1">
      <alignment vertical="center" wrapText="1"/>
    </xf>
    <xf numFmtId="178" fontId="111" fillId="0" borderId="5" xfId="34989" applyNumberFormat="1" applyFont="1" applyFill="1" applyBorder="1" applyAlignment="1" applyProtection="1">
      <alignment horizontal="left" vertical="center" wrapText="1"/>
    </xf>
    <xf numFmtId="178" fontId="111" fillId="0" borderId="5" xfId="34989" applyNumberFormat="1" applyFont="1" applyFill="1" applyBorder="1" applyAlignment="1" applyProtection="1">
      <alignment horizontal="center" vertical="center" wrapText="1"/>
    </xf>
    <xf numFmtId="214" fontId="163" fillId="0" borderId="5" xfId="0" applyNumberFormat="1" applyFont="1" applyFill="1" applyBorder="1" applyAlignment="1" applyProtection="1">
      <alignment horizontal="center" vertical="center" wrapText="1"/>
    </xf>
    <xf numFmtId="0" fontId="163" fillId="0" borderId="5" xfId="0" applyFont="1" applyFill="1" applyBorder="1" applyAlignment="1" applyProtection="1">
      <alignment horizontal="center" vertical="center" wrapText="1"/>
    </xf>
    <xf numFmtId="0" fontId="111" fillId="0" borderId="5" xfId="34989" applyFont="1" applyFill="1" applyBorder="1" applyAlignment="1" applyProtection="1">
      <alignment horizontal="left" vertical="center" wrapText="1"/>
    </xf>
    <xf numFmtId="0" fontId="111" fillId="0" borderId="5" xfId="34989" applyFont="1" applyFill="1" applyBorder="1" applyAlignment="1" applyProtection="1">
      <alignment horizontal="center" vertical="center" wrapText="1"/>
    </xf>
    <xf numFmtId="178" fontId="163" fillId="0" borderId="5" xfId="35466" applyNumberFormat="1" applyFont="1" applyFill="1" applyBorder="1" applyAlignment="1" applyProtection="1">
      <alignment horizontal="center" vertical="center"/>
    </xf>
    <xf numFmtId="2" fontId="163" fillId="0" borderId="14" xfId="37972" applyNumberFormat="1" applyFont="1" applyFill="1" applyBorder="1" applyAlignment="1" applyProtection="1">
      <alignment horizontal="left" vertical="center" wrapText="1"/>
    </xf>
    <xf numFmtId="2" fontId="163" fillId="0" borderId="14" xfId="37972" applyNumberFormat="1" applyFont="1" applyFill="1" applyBorder="1" applyAlignment="1" applyProtection="1">
      <alignment horizontal="center" vertical="center" wrapText="1"/>
    </xf>
    <xf numFmtId="0" fontId="163" fillId="0" borderId="5" xfId="34989" applyFont="1" applyFill="1" applyBorder="1" applyAlignment="1" applyProtection="1">
      <alignment horizontal="center" vertical="center" wrapText="1"/>
    </xf>
    <xf numFmtId="0" fontId="113" fillId="0" borderId="5" xfId="34989" applyFont="1" applyFill="1" applyBorder="1" applyAlignment="1" applyProtection="1">
      <alignment horizontal="left" vertical="center" wrapText="1"/>
    </xf>
    <xf numFmtId="0" fontId="111" fillId="0" borderId="5" xfId="0" applyFont="1" applyFill="1" applyBorder="1" applyAlignment="1" applyProtection="1">
      <alignment horizontal="center" vertical="center" wrapText="1"/>
    </xf>
    <xf numFmtId="0" fontId="160" fillId="0" borderId="5" xfId="0" applyFont="1" applyFill="1" applyBorder="1" applyAlignment="1" applyProtection="1">
      <alignment horizontal="center" vertical="center" wrapText="1"/>
    </xf>
    <xf numFmtId="178" fontId="114" fillId="0" borderId="5" xfId="35466" applyNumberFormat="1" applyFont="1" applyFill="1" applyBorder="1" applyAlignment="1" applyProtection="1">
      <alignment horizontal="center" vertical="center"/>
    </xf>
    <xf numFmtId="179" fontId="14" fillId="0" borderId="2" xfId="33708" applyNumberFormat="1" applyFont="1" applyFill="1" applyBorder="1" applyAlignment="1" applyProtection="1">
      <alignment horizontal="center" vertical="center"/>
    </xf>
    <xf numFmtId="0" fontId="14" fillId="0" borderId="2" xfId="33708" applyFont="1" applyFill="1" applyBorder="1" applyAlignment="1" applyProtection="1">
      <alignment horizontal="center" vertical="center"/>
    </xf>
    <xf numFmtId="0" fontId="14" fillId="0" borderId="5" xfId="23706" applyFont="1" applyFill="1" applyBorder="1" applyAlignment="1" applyProtection="1">
      <alignment horizontal="center" vertical="center" wrapText="1"/>
    </xf>
    <xf numFmtId="179" fontId="147" fillId="0" borderId="5" xfId="33708" applyNumberFormat="1" applyFont="1" applyFill="1" applyBorder="1" applyAlignment="1" applyProtection="1">
      <alignment horizontal="center" vertical="center"/>
    </xf>
    <xf numFmtId="197" fontId="147" fillId="0" borderId="5" xfId="33715" applyFont="1" applyFill="1" applyBorder="1" applyAlignment="1" applyProtection="1">
      <alignment horizontal="center" vertical="center"/>
    </xf>
    <xf numFmtId="178" fontId="147" fillId="0" borderId="5" xfId="23706" applyNumberFormat="1" applyFont="1" applyFill="1" applyBorder="1" applyAlignment="1" applyProtection="1">
      <alignment horizontal="center" vertical="center"/>
    </xf>
    <xf numFmtId="179" fontId="112" fillId="0" borderId="5" xfId="33708" applyNumberFormat="1" applyFont="1" applyFill="1" applyBorder="1" applyAlignment="1" applyProtection="1">
      <alignment horizontal="center" vertical="center"/>
    </xf>
    <xf numFmtId="197" fontId="112" fillId="0" borderId="5" xfId="33715" applyFont="1" applyFill="1" applyBorder="1" applyAlignment="1" applyProtection="1">
      <alignment horizontal="center" vertical="center"/>
    </xf>
    <xf numFmtId="178" fontId="112" fillId="0" borderId="5" xfId="23706" applyNumberFormat="1" applyFont="1" applyFill="1" applyBorder="1" applyAlignment="1" applyProtection="1">
      <alignment horizontal="center" vertical="center"/>
    </xf>
    <xf numFmtId="10" fontId="112" fillId="0" borderId="5" xfId="23706" applyNumberFormat="1" applyFont="1" applyFill="1" applyBorder="1" applyAlignment="1" applyProtection="1">
      <alignment horizontal="center" vertical="center"/>
    </xf>
    <xf numFmtId="197" fontId="165" fillId="0" borderId="5" xfId="34600" applyNumberFormat="1" applyFont="1" applyFill="1" applyBorder="1" applyAlignment="1" applyProtection="1">
      <alignment horizontal="center" vertical="center"/>
    </xf>
    <xf numFmtId="197" fontId="112" fillId="0" borderId="5" xfId="23706" applyNumberFormat="1" applyFont="1" applyFill="1" applyBorder="1" applyAlignment="1" applyProtection="1">
      <alignment horizontal="center" vertical="center"/>
    </xf>
    <xf numFmtId="179" fontId="112" fillId="2" borderId="5" xfId="33708" applyNumberFormat="1" applyFont="1" applyFill="1" applyBorder="1" applyAlignment="1" applyProtection="1">
      <alignment horizontal="center" vertical="center"/>
    </xf>
    <xf numFmtId="206" fontId="112" fillId="0" borderId="5" xfId="2292" applyNumberFormat="1" applyFont="1" applyFill="1" applyAlignment="1" applyProtection="1">
      <alignment horizontal="center" vertical="center" wrapText="1"/>
    </xf>
    <xf numFmtId="206" fontId="112" fillId="0" borderId="5" xfId="34331" applyNumberFormat="1" applyFont="1" applyFill="1" applyBorder="1" applyAlignment="1" applyProtection="1">
      <alignment horizontal="center" vertical="center" wrapText="1"/>
    </xf>
    <xf numFmtId="0" fontId="112" fillId="0" borderId="5" xfId="39097" applyFont="1" applyFill="1" applyBorder="1" applyAlignment="1" applyProtection="1">
      <alignment horizontal="center" vertical="center"/>
    </xf>
    <xf numFmtId="178" fontId="112" fillId="0" borderId="5" xfId="34597" applyNumberFormat="1" applyFont="1" applyFill="1" applyBorder="1" applyAlignment="1" applyProtection="1">
      <alignment horizontal="center" vertical="center"/>
    </xf>
    <xf numFmtId="178" fontId="112" fillId="0" borderId="5" xfId="37966" applyNumberFormat="1" applyFont="1" applyFill="1" applyBorder="1" applyAlignment="1" applyProtection="1">
      <alignment horizontal="center" vertical="center" wrapText="1"/>
    </xf>
    <xf numFmtId="197" fontId="112" fillId="0" borderId="5" xfId="34600" applyNumberFormat="1" applyFont="1" applyFill="1" applyBorder="1" applyAlignment="1" applyProtection="1">
      <alignment horizontal="center" vertical="center"/>
    </xf>
    <xf numFmtId="206" fontId="112" fillId="0" borderId="5" xfId="2709" applyNumberFormat="1" applyFont="1" applyFill="1" applyBorder="1" applyAlignment="1" applyProtection="1">
      <alignment horizontal="center" vertical="center" wrapText="1"/>
    </xf>
    <xf numFmtId="206" fontId="112" fillId="0" borderId="5" xfId="1845" applyNumberFormat="1" applyFont="1" applyFill="1" applyAlignment="1" applyProtection="1">
      <alignment horizontal="center" vertical="center" wrapText="1"/>
    </xf>
    <xf numFmtId="206" fontId="112" fillId="0" borderId="5" xfId="711" applyNumberFormat="1" applyFont="1" applyFill="1" applyAlignment="1" applyProtection="1">
      <alignment horizontal="center" vertical="center" wrapText="1"/>
    </xf>
    <xf numFmtId="178" fontId="112" fillId="0" borderId="5" xfId="1612" applyNumberFormat="1" applyFont="1" applyFill="1" applyAlignment="1" applyProtection="1">
      <alignment horizontal="center" vertical="center"/>
    </xf>
    <xf numFmtId="179" fontId="117" fillId="0" borderId="5" xfId="33708" applyNumberFormat="1" applyFont="1" applyFill="1" applyBorder="1" applyAlignment="1" applyProtection="1">
      <alignment horizontal="center" vertical="center"/>
    </xf>
    <xf numFmtId="197" fontId="117" fillId="0" borderId="5" xfId="33715" applyFont="1" applyFill="1" applyBorder="1" applyAlignment="1" applyProtection="1">
      <alignment horizontal="center" vertical="center"/>
    </xf>
    <xf numFmtId="193" fontId="117" fillId="0" borderId="5" xfId="66" applyNumberFormat="1" applyFont="1" applyFill="1" applyBorder="1" applyAlignment="1" applyProtection="1">
      <alignment horizontal="center" vertical="center"/>
    </xf>
    <xf numFmtId="178" fontId="117" fillId="0" borderId="5" xfId="37966" applyNumberFormat="1" applyFont="1" applyFill="1" applyBorder="1" applyAlignment="1" applyProtection="1">
      <alignment horizontal="center" vertical="center" wrapText="1"/>
    </xf>
    <xf numFmtId="197" fontId="117" fillId="0" borderId="5" xfId="34600" applyNumberFormat="1" applyFont="1" applyFill="1" applyBorder="1" applyAlignment="1" applyProtection="1">
      <alignment horizontal="center" vertical="center"/>
    </xf>
    <xf numFmtId="179" fontId="112" fillId="0" borderId="5" xfId="34597" applyNumberFormat="1" applyFont="1" applyFill="1" applyBorder="1" applyAlignment="1" applyProtection="1">
      <alignment horizontal="center" vertical="center"/>
    </xf>
    <xf numFmtId="206" fontId="165" fillId="0" borderId="5" xfId="1845" applyNumberFormat="1" applyFont="1" applyFill="1" applyAlignment="1" applyProtection="1">
      <alignment horizontal="center" vertical="center" wrapText="1"/>
    </xf>
    <xf numFmtId="179" fontId="165" fillId="0" borderId="5" xfId="1845" applyNumberFormat="1" applyFont="1" applyFill="1" applyAlignment="1" applyProtection="1">
      <alignment horizontal="center" vertical="center" wrapText="1"/>
    </xf>
    <xf numFmtId="206" fontId="117" fillId="0" borderId="5" xfId="505" applyNumberFormat="1" applyFont="1" applyFill="1" applyBorder="1" applyAlignment="1" applyProtection="1">
      <alignment horizontal="center" vertical="center" wrapText="1"/>
    </xf>
    <xf numFmtId="49" fontId="112" fillId="0" borderId="5" xfId="505" applyNumberFormat="1" applyFont="1" applyFill="1" applyBorder="1" applyAlignment="1" applyProtection="1">
      <alignment horizontal="center" vertical="center" wrapText="1"/>
    </xf>
    <xf numFmtId="0" fontId="165" fillId="0" borderId="5" xfId="39097" applyFont="1" applyFill="1" applyBorder="1" applyAlignment="1" applyProtection="1">
      <alignment horizontal="center" vertical="center"/>
    </xf>
    <xf numFmtId="178" fontId="112" fillId="0" borderId="5" xfId="503" applyNumberFormat="1" applyFont="1" applyFill="1" applyBorder="1" applyAlignment="1" applyProtection="1">
      <alignment horizontal="center" vertical="center"/>
    </xf>
    <xf numFmtId="0" fontId="113" fillId="0" borderId="5" xfId="37978" applyFont="1" applyBorder="1" applyAlignment="1">
      <alignment horizontal="center" vertical="center"/>
    </xf>
    <xf numFmtId="0" fontId="113" fillId="3" borderId="5" xfId="37978" applyFont="1" applyFill="1" applyBorder="1" applyAlignment="1" applyProtection="1">
      <alignment horizontal="center" vertical="center" wrapText="1"/>
    </xf>
    <xf numFmtId="0" fontId="113" fillId="2" borderId="5" xfId="37978" applyFont="1" applyFill="1" applyBorder="1" applyAlignment="1">
      <alignment horizontal="center" vertical="center" wrapText="1"/>
    </xf>
    <xf numFmtId="0" fontId="113" fillId="0" borderId="5" xfId="37978" applyFont="1" applyFill="1" applyBorder="1" applyAlignment="1">
      <alignment horizontal="center" vertical="center" wrapText="1"/>
    </xf>
    <xf numFmtId="0" fontId="141" fillId="3" borderId="5" xfId="37978" applyFont="1" applyFill="1" applyBorder="1" applyAlignment="1">
      <alignment horizontal="left" vertical="center" wrapText="1"/>
    </xf>
    <xf numFmtId="0" fontId="137" fillId="0" borderId="5" xfId="37978" applyFont="1" applyFill="1" applyBorder="1" applyAlignment="1">
      <alignment horizontal="center" vertical="center" wrapText="1"/>
    </xf>
    <xf numFmtId="0" fontId="137" fillId="3" borderId="5" xfId="37978" applyFont="1" applyFill="1" applyBorder="1" applyAlignment="1">
      <alignment horizontal="left" vertical="center" wrapText="1"/>
    </xf>
    <xf numFmtId="0" fontId="137" fillId="3" borderId="5" xfId="37978" applyFont="1" applyFill="1" applyBorder="1" applyAlignment="1">
      <alignment horizontal="center" vertical="center" wrapText="1"/>
    </xf>
    <xf numFmtId="214" fontId="138" fillId="0" borderId="5" xfId="34597" applyNumberFormat="1" applyFont="1" applyFill="1" applyBorder="1" applyAlignment="1">
      <alignment horizontal="center" vertical="center" wrapText="1" shrinkToFit="1"/>
    </xf>
    <xf numFmtId="214" fontId="137" fillId="3" borderId="5" xfId="37977" applyNumberFormat="1" applyFont="1" applyFill="1" applyBorder="1" applyAlignment="1">
      <alignment horizontal="left" vertical="center" wrapText="1" shrinkToFit="1"/>
    </xf>
    <xf numFmtId="214" fontId="137" fillId="3" borderId="5" xfId="37977" applyNumberFormat="1" applyFont="1" applyFill="1" applyBorder="1" applyAlignment="1">
      <alignment vertical="center" wrapText="1" shrinkToFit="1"/>
    </xf>
    <xf numFmtId="0" fontId="141" fillId="0" borderId="5" xfId="37978" applyFont="1" applyBorder="1" applyAlignment="1">
      <alignment horizontal="center" vertical="center" wrapText="1"/>
    </xf>
    <xf numFmtId="0" fontId="141" fillId="3" borderId="5" xfId="37978" applyFont="1" applyFill="1" applyBorder="1" applyAlignment="1">
      <alignment horizontal="center" vertical="center" wrapText="1"/>
    </xf>
    <xf numFmtId="0" fontId="137" fillId="0" borderId="5" xfId="37978" applyFont="1" applyFill="1" applyBorder="1" applyAlignment="1">
      <alignment vertical="center" wrapText="1"/>
    </xf>
    <xf numFmtId="0" fontId="141" fillId="0" borderId="5" xfId="37978" applyFont="1" applyFill="1" applyBorder="1" applyAlignment="1">
      <alignment vertical="center" wrapText="1"/>
    </xf>
    <xf numFmtId="0" fontId="137" fillId="0" borderId="5" xfId="37978" applyFont="1" applyFill="1" applyBorder="1" applyAlignment="1">
      <alignment horizontal="left" vertical="center" wrapText="1"/>
    </xf>
    <xf numFmtId="0" fontId="141" fillId="0" borderId="5" xfId="37978" applyFont="1" applyFill="1" applyBorder="1" applyAlignment="1">
      <alignment horizontal="left" vertical="center" wrapText="1"/>
    </xf>
    <xf numFmtId="0" fontId="137" fillId="0" borderId="5" xfId="37978" applyFont="1" applyBorder="1" applyAlignment="1">
      <alignment horizontal="center" vertical="center" wrapText="1"/>
    </xf>
    <xf numFmtId="178" fontId="137" fillId="0" borderId="5" xfId="37978" applyNumberFormat="1" applyFont="1" applyFill="1" applyBorder="1" applyAlignment="1">
      <alignment horizontal="center" vertical="center" wrapText="1"/>
    </xf>
    <xf numFmtId="2" fontId="137" fillId="0" borderId="5" xfId="37978" applyNumberFormat="1" applyFont="1" applyFill="1" applyBorder="1" applyAlignment="1">
      <alignment horizontal="center" vertical="center" wrapText="1"/>
    </xf>
    <xf numFmtId="214" fontId="141" fillId="3" borderId="5" xfId="37978" applyNumberFormat="1" applyFont="1" applyFill="1" applyBorder="1" applyAlignment="1">
      <alignment horizontal="right" vertical="center" wrapText="1" shrinkToFit="1"/>
    </xf>
    <xf numFmtId="214" fontId="141" fillId="3" borderId="5" xfId="37978" applyNumberFormat="1" applyFont="1" applyFill="1" applyBorder="1" applyAlignment="1">
      <alignment horizontal="center" vertical="center" wrapText="1" shrinkToFit="1"/>
    </xf>
    <xf numFmtId="178" fontId="137" fillId="2" borderId="5" xfId="37978" applyNumberFormat="1" applyFont="1" applyFill="1" applyBorder="1" applyAlignment="1" applyProtection="1">
      <alignment horizontal="center" vertical="center" wrapText="1"/>
      <protection locked="0"/>
    </xf>
    <xf numFmtId="214" fontId="138" fillId="2" borderId="5" xfId="34597" applyNumberFormat="1" applyFont="1" applyFill="1" applyBorder="1" applyAlignment="1" applyProtection="1">
      <alignment horizontal="center" vertical="center" wrapText="1" shrinkToFit="1"/>
      <protection locked="0"/>
    </xf>
    <xf numFmtId="0" fontId="3" fillId="0" borderId="5" xfId="37966" applyFont="1" applyFill="1" applyBorder="1" applyAlignment="1" applyProtection="1">
      <alignment horizontal="center" vertical="center" wrapText="1"/>
    </xf>
    <xf numFmtId="0" fontId="137" fillId="0" borderId="5" xfId="37966" applyFont="1" applyFill="1" applyBorder="1" applyAlignment="1" applyProtection="1">
      <alignment horizontal="center" vertical="center" wrapText="1"/>
    </xf>
    <xf numFmtId="0" fontId="4" fillId="0" borderId="5" xfId="37966" applyFont="1" applyFill="1" applyBorder="1" applyAlignment="1" applyProtection="1">
      <alignment horizontal="center" vertical="center" wrapText="1"/>
    </xf>
    <xf numFmtId="0" fontId="142" fillId="2" borderId="5" xfId="37966" applyFont="1" applyFill="1" applyBorder="1" applyAlignment="1" applyProtection="1">
      <alignment horizontal="left" vertical="top" wrapText="1"/>
    </xf>
    <xf numFmtId="206" fontId="142" fillId="2" borderId="5" xfId="37967" applyNumberFormat="1" applyFont="1" applyFill="1" applyBorder="1" applyAlignment="1" applyProtection="1">
      <alignment horizontal="left" vertical="center" wrapText="1"/>
    </xf>
    <xf numFmtId="0" fontId="142" fillId="2" borderId="5" xfId="37966" applyFont="1" applyFill="1" applyBorder="1" applyAlignment="1" applyProtection="1">
      <alignment horizontal="left" vertical="center" wrapText="1"/>
    </xf>
    <xf numFmtId="0" fontId="142" fillId="2" borderId="5" xfId="37966" applyFont="1" applyFill="1" applyBorder="1" applyAlignment="1" applyProtection="1">
      <alignment horizontal="center" vertical="center" wrapText="1"/>
    </xf>
    <xf numFmtId="178" fontId="142" fillId="2" borderId="5" xfId="37966" applyNumberFormat="1" applyFont="1" applyFill="1" applyBorder="1" applyAlignment="1" applyProtection="1">
      <alignment horizontal="center" vertical="center" wrapText="1"/>
    </xf>
    <xf numFmtId="178" fontId="137" fillId="0" borderId="5" xfId="37966" applyNumberFormat="1" applyFont="1" applyFill="1" applyBorder="1" applyAlignment="1" applyProtection="1">
      <alignment horizontal="center" vertical="center" wrapText="1"/>
    </xf>
    <xf numFmtId="199" fontId="142" fillId="2" borderId="5" xfId="37966" applyNumberFormat="1" applyFont="1" applyFill="1" applyBorder="1" applyAlignment="1" applyProtection="1">
      <alignment horizontal="center" vertical="center" wrapText="1"/>
    </xf>
    <xf numFmtId="0" fontId="4" fillId="0" borderId="5" xfId="34597" applyFont="1" applyFill="1" applyBorder="1" applyAlignment="1" applyProtection="1">
      <alignment vertical="center" wrapText="1"/>
    </xf>
    <xf numFmtId="0" fontId="4" fillId="0" borderId="5" xfId="34597" applyFont="1" applyFill="1" applyBorder="1" applyAlignment="1" applyProtection="1">
      <alignment horizontal="center" vertical="center" wrapText="1"/>
    </xf>
    <xf numFmtId="178" fontId="4" fillId="0" borderId="5" xfId="34597" applyNumberFormat="1" applyFont="1" applyFill="1" applyBorder="1" applyAlignment="1" applyProtection="1">
      <alignment horizontal="center" vertical="center" wrapText="1"/>
    </xf>
    <xf numFmtId="2" fontId="4" fillId="0" borderId="5" xfId="37966" applyNumberFormat="1" applyFont="1" applyFill="1" applyBorder="1" applyAlignment="1" applyProtection="1">
      <alignment horizontal="center" vertical="center" wrapText="1" shrinkToFit="1"/>
    </xf>
    <xf numFmtId="206" fontId="4" fillId="0" borderId="5" xfId="37966" applyNumberFormat="1" applyFont="1" applyFill="1" applyBorder="1" applyAlignment="1" applyProtection="1">
      <alignment horizontal="center" vertical="center" wrapText="1"/>
    </xf>
    <xf numFmtId="178" fontId="4" fillId="0" borderId="5" xfId="37974" applyNumberFormat="1" applyFont="1" applyFill="1" applyBorder="1" applyAlignment="1" applyProtection="1">
      <alignment horizontal="center" vertical="center" wrapText="1"/>
    </xf>
    <xf numFmtId="206" fontId="4" fillId="0" borderId="5" xfId="37974" applyNumberFormat="1" applyFont="1" applyFill="1" applyBorder="1" applyAlignment="1" applyProtection="1">
      <alignment horizontal="center" vertical="center" wrapText="1"/>
    </xf>
    <xf numFmtId="206" fontId="6" fillId="0" borderId="5" xfId="37966" applyNumberFormat="1" applyFont="1" applyFill="1" applyBorder="1" applyAlignment="1" applyProtection="1">
      <alignment horizontal="center" vertical="center" wrapText="1"/>
    </xf>
    <xf numFmtId="10" fontId="7" fillId="0" borderId="5" xfId="34982" applyNumberFormat="1" applyFont="1" applyFill="1" applyBorder="1" applyAlignment="1" applyProtection="1">
      <alignment horizontal="center" vertical="center" wrapText="1"/>
    </xf>
    <xf numFmtId="178" fontId="6" fillId="0" borderId="5" xfId="37974" applyNumberFormat="1" applyFont="1" applyFill="1" applyBorder="1" applyAlignment="1" applyProtection="1">
      <alignment horizontal="center" vertical="center"/>
    </xf>
    <xf numFmtId="178" fontId="6" fillId="0" borderId="5" xfId="37974" applyNumberFormat="1" applyFont="1" applyFill="1" applyBorder="1" applyAlignment="1" applyProtection="1">
      <alignment horizontal="center" vertical="center" wrapText="1"/>
    </xf>
    <xf numFmtId="206" fontId="6" fillId="0" borderId="5" xfId="37974" applyNumberFormat="1" applyFont="1" applyFill="1" applyBorder="1" applyAlignment="1" applyProtection="1">
      <alignment horizontal="center" vertical="center"/>
    </xf>
    <xf numFmtId="10" fontId="4" fillId="0" borderId="5" xfId="34982" applyNumberFormat="1" applyFont="1" applyFill="1" applyBorder="1" applyAlignment="1" applyProtection="1">
      <alignment horizontal="center" vertical="center" wrapText="1"/>
    </xf>
    <xf numFmtId="178" fontId="137" fillId="0" borderId="7" xfId="37966" applyNumberFormat="1" applyFont="1" applyFill="1" applyBorder="1" applyAlignment="1" applyProtection="1">
      <alignment horizontal="center" vertical="center" wrapText="1"/>
    </xf>
    <xf numFmtId="2" fontId="142" fillId="0" borderId="7" xfId="37966" applyNumberFormat="1" applyFont="1" applyFill="1" applyBorder="1" applyAlignment="1" applyProtection="1">
      <alignment horizontal="center" vertical="center" wrapText="1" shrinkToFit="1"/>
    </xf>
    <xf numFmtId="178" fontId="142" fillId="0" borderId="7" xfId="37966" applyNumberFormat="1" applyFont="1" applyFill="1" applyBorder="1" applyAlignment="1" applyProtection="1">
      <alignment horizontal="center" vertical="center" wrapText="1"/>
    </xf>
    <xf numFmtId="10" fontId="142" fillId="0" borderId="7" xfId="37966" applyNumberFormat="1" applyFont="1" applyFill="1" applyBorder="1" applyAlignment="1" applyProtection="1">
      <alignment horizontal="center" vertical="center" wrapText="1"/>
    </xf>
    <xf numFmtId="178" fontId="142" fillId="0" borderId="7" xfId="37966" applyNumberFormat="1" applyFont="1" applyFill="1" applyBorder="1" applyAlignment="1" applyProtection="1">
      <alignment horizontal="center" vertical="center" wrapText="1" shrinkToFit="1"/>
    </xf>
    <xf numFmtId="9" fontId="142" fillId="0" borderId="7" xfId="24" applyFont="1" applyFill="1" applyBorder="1" applyAlignment="1" applyProtection="1">
      <alignment horizontal="left" vertical="center" wrapText="1"/>
    </xf>
    <xf numFmtId="0" fontId="142" fillId="0" borderId="8" xfId="37966" applyFont="1" applyFill="1" applyBorder="1" applyAlignment="1" applyProtection="1">
      <alignment vertical="center" wrapText="1"/>
    </xf>
    <xf numFmtId="206" fontId="119" fillId="0" borderId="5" xfId="37973" applyNumberFormat="1" applyFont="1" applyFill="1" applyBorder="1" applyAlignment="1">
      <alignment horizontal="center" vertical="center" wrapText="1"/>
    </xf>
    <xf numFmtId="0" fontId="111" fillId="0" borderId="5" xfId="34593" applyFont="1" applyBorder="1" applyAlignment="1">
      <alignment vertical="center" wrapText="1"/>
    </xf>
    <xf numFmtId="0" fontId="111" fillId="0" borderId="5" xfId="34593" applyFont="1" applyBorder="1" applyAlignment="1">
      <alignment horizontal="left" vertical="center" wrapText="1"/>
    </xf>
    <xf numFmtId="0" fontId="167" fillId="0" borderId="5" xfId="34593" applyFont="1" applyBorder="1" applyAlignment="1">
      <alignment horizontal="left" vertical="center" wrapText="1"/>
    </xf>
    <xf numFmtId="0" fontId="114" fillId="0" borderId="5" xfId="34593" applyFont="1" applyBorder="1" applyAlignment="1">
      <alignment horizontal="left" vertical="center" wrapText="1"/>
    </xf>
    <xf numFmtId="0" fontId="163" fillId="0" borderId="5" xfId="34593" applyFont="1" applyBorder="1" applyAlignment="1">
      <alignment vertical="center" wrapText="1"/>
    </xf>
    <xf numFmtId="0" fontId="169" fillId="0" borderId="5" xfId="34593" applyFont="1" applyBorder="1" applyAlignment="1">
      <alignment vertical="center" wrapText="1"/>
    </xf>
    <xf numFmtId="0" fontId="117" fillId="0" borderId="0" xfId="0" applyFont="1">
      <alignment vertical="center"/>
    </xf>
    <xf numFmtId="178" fontId="137" fillId="0" borderId="5" xfId="37980" applyNumberFormat="1" applyFont="1" applyFill="1" applyBorder="1" applyAlignment="1" applyProtection="1">
      <alignment horizontal="center" vertical="center" wrapText="1"/>
    </xf>
    <xf numFmtId="10" fontId="137" fillId="2" borderId="5" xfId="37980" applyNumberFormat="1" applyFont="1" applyFill="1" applyBorder="1" applyAlignment="1" applyProtection="1">
      <alignment horizontal="center" vertical="center" wrapText="1"/>
      <protection locked="0"/>
    </xf>
    <xf numFmtId="214" fontId="137" fillId="0" borderId="5" xfId="0" applyNumberFormat="1" applyFont="1" applyFill="1" applyBorder="1" applyAlignment="1" applyProtection="1">
      <alignment horizontal="center" vertical="center" wrapText="1"/>
    </xf>
    <xf numFmtId="9" fontId="137" fillId="0" borderId="5" xfId="24" applyFont="1" applyFill="1" applyBorder="1" applyAlignment="1" applyProtection="1">
      <alignment horizontal="center" vertical="center" wrapText="1"/>
    </xf>
    <xf numFmtId="178" fontId="137" fillId="0" borderId="5" xfId="37975" applyNumberFormat="1" applyFont="1" applyFill="1" applyBorder="1" applyAlignment="1" applyProtection="1">
      <alignment horizontal="center" vertical="center" wrapText="1"/>
    </xf>
    <xf numFmtId="10" fontId="137" fillId="0" borderId="5" xfId="37974" applyNumberFormat="1" applyFont="1" applyFill="1" applyBorder="1" applyAlignment="1" applyProtection="1">
      <alignment horizontal="center" vertical="center"/>
    </xf>
    <xf numFmtId="199" fontId="137" fillId="0" borderId="5" xfId="37974" applyNumberFormat="1" applyFont="1" applyFill="1" applyBorder="1" applyAlignment="1" applyProtection="1">
      <alignment horizontal="center" vertical="center"/>
    </xf>
    <xf numFmtId="178" fontId="142" fillId="3" borderId="5" xfId="37980" applyNumberFormat="1" applyFont="1" applyFill="1" applyBorder="1" applyAlignment="1" applyProtection="1">
      <alignment horizontal="center" vertical="center" wrapText="1"/>
    </xf>
    <xf numFmtId="214" fontId="142" fillId="3" borderId="5" xfId="0" applyNumberFormat="1" applyFont="1" applyFill="1" applyBorder="1" applyAlignment="1" applyProtection="1">
      <alignment horizontal="center" vertical="center" wrapText="1"/>
    </xf>
    <xf numFmtId="10" fontId="142" fillId="3" borderId="5" xfId="37974" applyNumberFormat="1" applyFont="1" applyFill="1" applyBorder="1" applyAlignment="1" applyProtection="1">
      <alignment horizontal="center" vertical="center"/>
    </xf>
    <xf numFmtId="199" fontId="142" fillId="3" borderId="5" xfId="37974" applyNumberFormat="1" applyFont="1" applyFill="1" applyBorder="1" applyAlignment="1" applyProtection="1">
      <alignment horizontal="center" vertical="center"/>
    </xf>
    <xf numFmtId="178" fontId="145" fillId="0" borderId="8" xfId="0" applyNumberFormat="1" applyFont="1" applyFill="1" applyBorder="1" applyProtection="1">
      <alignment vertical="center"/>
    </xf>
    <xf numFmtId="178" fontId="148" fillId="0" borderId="5" xfId="0" applyNumberFormat="1" applyFont="1" applyFill="1" applyBorder="1" applyAlignment="1" applyProtection="1">
      <alignment horizontal="center" vertical="center"/>
    </xf>
    <xf numFmtId="0" fontId="119" fillId="0" borderId="3" xfId="37973" applyFont="1" applyFill="1" applyBorder="1" applyAlignment="1" applyProtection="1">
      <alignment horizontal="center" vertical="center" wrapText="1"/>
    </xf>
    <xf numFmtId="10" fontId="134" fillId="4" borderId="5" xfId="24" applyNumberFormat="1" applyFont="1" applyFill="1" applyBorder="1" applyAlignment="1" applyProtection="1">
      <alignment horizontal="center" vertical="center" wrapText="1"/>
      <protection locked="0"/>
    </xf>
    <xf numFmtId="0" fontId="170" fillId="0" borderId="5" xfId="34597" applyFont="1" applyFill="1" applyBorder="1" applyAlignment="1" applyProtection="1">
      <alignment horizontal="left" vertical="center" wrapText="1"/>
    </xf>
    <xf numFmtId="49" fontId="125" fillId="0" borderId="0" xfId="35021" applyNumberFormat="1" applyFont="1" applyFill="1" applyAlignment="1" applyProtection="1">
      <alignment horizontal="left" wrapText="1"/>
      <protection locked="0"/>
    </xf>
    <xf numFmtId="0" fontId="125" fillId="0" borderId="0" xfId="35021" applyFont="1" applyFill="1" applyAlignment="1" applyProtection="1">
      <protection locked="0"/>
    </xf>
    <xf numFmtId="49" fontId="125" fillId="0" borderId="25" xfId="35021" applyNumberFormat="1" applyFont="1" applyFill="1" applyBorder="1" applyAlignment="1" applyProtection="1">
      <alignment horizontal="left" wrapText="1"/>
      <protection locked="0"/>
    </xf>
    <xf numFmtId="0" fontId="125" fillId="0" borderId="25" xfId="35021" applyFont="1" applyFill="1" applyBorder="1" applyAlignment="1" applyProtection="1">
      <alignment horizontal="left"/>
      <protection locked="0"/>
    </xf>
    <xf numFmtId="49" fontId="125" fillId="0" borderId="0" xfId="35021" applyNumberFormat="1" applyFont="1" applyFill="1" applyAlignment="1" applyProtection="1">
      <alignment horizontal="right" wrapText="1"/>
    </xf>
    <xf numFmtId="0" fontId="125" fillId="0" borderId="0" xfId="35021" applyFont="1" applyFill="1" applyAlignment="1" applyProtection="1">
      <alignment horizontal="right"/>
    </xf>
    <xf numFmtId="206" fontId="127" fillId="0" borderId="25" xfId="35021" applyNumberFormat="1" applyFont="1" applyFill="1" applyBorder="1" applyAlignment="1" applyProtection="1">
      <alignment horizontal="left" wrapText="1"/>
    </xf>
    <xf numFmtId="206" fontId="127" fillId="0" borderId="25" xfId="35021" applyNumberFormat="1" applyFont="1" applyFill="1" applyBorder="1" applyAlignment="1" applyProtection="1">
      <alignment horizontal="left"/>
    </xf>
    <xf numFmtId="49" fontId="125" fillId="0" borderId="0" xfId="35021" applyNumberFormat="1" applyFont="1" applyFill="1" applyAlignment="1" applyProtection="1">
      <alignment horizontal="left" vertical="center" wrapText="1"/>
      <protection locked="0"/>
    </xf>
    <xf numFmtId="0" fontId="125" fillId="0" borderId="0" xfId="35021" applyFont="1" applyFill="1" applyProtection="1">
      <protection locked="0"/>
    </xf>
    <xf numFmtId="49" fontId="123" fillId="0" borderId="0" xfId="35021" applyNumberFormat="1" applyFont="1" applyFill="1" applyAlignment="1" applyProtection="1">
      <alignment horizontal="center" vertical="center" wrapText="1"/>
    </xf>
    <xf numFmtId="0" fontId="125" fillId="0" borderId="25" xfId="35021" applyNumberFormat="1" applyFont="1" applyFill="1" applyBorder="1" applyAlignment="1" applyProtection="1">
      <alignment horizontal="left" vertical="center" wrapText="1"/>
    </xf>
    <xf numFmtId="0" fontId="125" fillId="0" borderId="25" xfId="35021" applyNumberFormat="1" applyFont="1" applyFill="1" applyBorder="1" applyAlignment="1" applyProtection="1">
      <alignment horizontal="left"/>
    </xf>
    <xf numFmtId="216" fontId="127" fillId="0" borderId="25" xfId="35021" applyNumberFormat="1" applyFont="1" applyFill="1" applyBorder="1" applyAlignment="1" applyProtection="1">
      <alignment horizontal="left" wrapText="1"/>
    </xf>
    <xf numFmtId="216" fontId="127" fillId="0" borderId="25" xfId="35021" applyNumberFormat="1" applyFont="1" applyFill="1" applyBorder="1" applyAlignment="1" applyProtection="1">
      <alignment horizontal="left"/>
    </xf>
    <xf numFmtId="0" fontId="129" fillId="0" borderId="0" xfId="0" applyFont="1" applyAlignment="1">
      <alignment horizontal="center" vertical="center"/>
    </xf>
    <xf numFmtId="0" fontId="119" fillId="0" borderId="6" xfId="35057" applyFont="1" applyFill="1" applyBorder="1" applyAlignment="1" applyProtection="1">
      <alignment horizontal="center" vertical="center" wrapText="1"/>
    </xf>
    <xf numFmtId="0" fontId="119" fillId="0" borderId="7" xfId="35057" applyFont="1" applyFill="1" applyBorder="1" applyAlignment="1" applyProtection="1">
      <alignment horizontal="center" vertical="center" wrapText="1"/>
    </xf>
    <xf numFmtId="0" fontId="119" fillId="0" borderId="8" xfId="35057" applyFont="1" applyFill="1" applyBorder="1" applyAlignment="1" applyProtection="1">
      <alignment horizontal="center" vertical="center" wrapText="1"/>
    </xf>
    <xf numFmtId="0" fontId="119" fillId="0" borderId="5" xfId="35057" applyFont="1" applyFill="1" applyBorder="1" applyAlignment="1">
      <alignment horizontal="center" vertical="center" wrapText="1"/>
    </xf>
    <xf numFmtId="0" fontId="120" fillId="0" borderId="5" xfId="0" applyFont="1" applyFill="1" applyBorder="1" applyAlignment="1">
      <alignment horizontal="center" vertical="center" wrapText="1"/>
    </xf>
    <xf numFmtId="0" fontId="122" fillId="0" borderId="12" xfId="37973" applyFont="1" applyFill="1" applyBorder="1" applyAlignment="1">
      <alignment horizontal="center" vertical="center" wrapText="1"/>
    </xf>
    <xf numFmtId="0" fontId="122" fillId="0" borderId="4" xfId="37973" applyFont="1" applyFill="1" applyBorder="1" applyAlignment="1">
      <alignment horizontal="center" vertical="center" wrapText="1"/>
    </xf>
    <xf numFmtId="43" fontId="122" fillId="0" borderId="4" xfId="37973" applyNumberFormat="1" applyFont="1" applyFill="1" applyBorder="1" applyAlignment="1">
      <alignment horizontal="center" vertical="center" wrapText="1"/>
    </xf>
    <xf numFmtId="0" fontId="122" fillId="0" borderId="11" xfId="37973" applyFont="1" applyFill="1" applyBorder="1" applyAlignment="1">
      <alignment horizontal="center" vertical="center" wrapText="1"/>
    </xf>
    <xf numFmtId="43" fontId="133" fillId="0" borderId="5" xfId="37973" applyNumberFormat="1" applyFont="1" applyFill="1" applyBorder="1" applyAlignment="1">
      <alignment horizontal="center" vertical="center" wrapText="1"/>
    </xf>
    <xf numFmtId="0" fontId="132" fillId="0" borderId="5" xfId="37973" applyFont="1" applyFill="1" applyBorder="1" applyAlignment="1">
      <alignment horizontal="left" vertical="center"/>
    </xf>
    <xf numFmtId="212" fontId="122" fillId="0" borderId="12" xfId="37973" applyNumberFormat="1" applyFont="1" applyFill="1" applyBorder="1" applyAlignment="1">
      <alignment horizontal="center" vertical="center" wrapText="1"/>
    </xf>
    <xf numFmtId="212" fontId="122" fillId="0" borderId="4" xfId="37973" applyNumberFormat="1" applyFont="1" applyFill="1" applyBorder="1" applyAlignment="1">
      <alignment horizontal="center" vertical="center" wrapText="1"/>
    </xf>
    <xf numFmtId="212" fontId="122" fillId="0" borderId="11" xfId="37973" applyNumberFormat="1" applyFont="1" applyFill="1" applyBorder="1" applyAlignment="1">
      <alignment horizontal="center" vertical="center" wrapText="1"/>
    </xf>
    <xf numFmtId="212" fontId="119" fillId="0" borderId="5" xfId="35057" applyNumberFormat="1" applyFont="1" applyFill="1" applyBorder="1" applyAlignment="1">
      <alignment horizontal="center" vertical="center" wrapText="1"/>
    </xf>
    <xf numFmtId="212" fontId="118" fillId="0" borderId="6" xfId="37973" applyNumberFormat="1" applyFont="1" applyFill="1" applyBorder="1" applyAlignment="1">
      <alignment horizontal="left" vertical="center"/>
    </xf>
    <xf numFmtId="212" fontId="118" fillId="0" borderId="7" xfId="37973" applyNumberFormat="1" applyFont="1" applyFill="1" applyBorder="1" applyAlignment="1">
      <alignment horizontal="left" vertical="center"/>
    </xf>
    <xf numFmtId="212" fontId="118" fillId="0" borderId="8" xfId="37973" applyNumberFormat="1" applyFont="1" applyFill="1" applyBorder="1" applyAlignment="1">
      <alignment horizontal="left" vertical="center"/>
    </xf>
    <xf numFmtId="212" fontId="135" fillId="0" borderId="5" xfId="37973" applyNumberFormat="1" applyFont="1" applyFill="1" applyBorder="1" applyAlignment="1">
      <alignment horizontal="left" vertical="center"/>
    </xf>
    <xf numFmtId="0" fontId="111" fillId="0" borderId="6" xfId="34597" applyFont="1" applyFill="1" applyBorder="1" applyAlignment="1">
      <alignment horizontal="left" vertical="center"/>
    </xf>
    <xf numFmtId="0" fontId="111" fillId="0" borderId="7" xfId="34597" applyFont="1" applyFill="1" applyBorder="1" applyAlignment="1">
      <alignment horizontal="left" vertical="center"/>
    </xf>
    <xf numFmtId="0" fontId="111" fillId="0" borderId="8" xfId="34597" applyFont="1" applyFill="1" applyBorder="1" applyAlignment="1">
      <alignment horizontal="left" vertical="center"/>
    </xf>
    <xf numFmtId="0" fontId="114" fillId="0" borderId="6" xfId="34597" applyFont="1" applyFill="1" applyBorder="1" applyAlignment="1">
      <alignment horizontal="left" vertical="center" wrapText="1"/>
    </xf>
    <xf numFmtId="0" fontId="114" fillId="0" borderId="7" xfId="34597" applyFont="1" applyFill="1" applyBorder="1" applyAlignment="1">
      <alignment horizontal="left" vertical="center" wrapText="1"/>
    </xf>
    <xf numFmtId="0" fontId="114" fillId="0" borderId="8" xfId="34597" applyFont="1" applyFill="1" applyBorder="1" applyAlignment="1">
      <alignment horizontal="left" vertical="center" wrapText="1"/>
    </xf>
    <xf numFmtId="0" fontId="111" fillId="0" borderId="5" xfId="37976" applyFont="1" applyFill="1" applyBorder="1" applyAlignment="1">
      <alignment horizontal="left" vertical="center" wrapText="1"/>
    </xf>
    <xf numFmtId="0" fontId="113" fillId="0" borderId="5" xfId="37976" applyFont="1" applyFill="1" applyBorder="1" applyAlignment="1">
      <alignment horizontal="left" vertical="center" wrapText="1"/>
    </xf>
    <xf numFmtId="0" fontId="32" fillId="0" borderId="0" xfId="34597" applyFont="1" applyFill="1" applyAlignment="1">
      <alignment horizontal="center" vertical="center" wrapText="1"/>
    </xf>
    <xf numFmtId="0" fontId="111" fillId="0" borderId="6" xfId="37976" applyFont="1" applyFill="1" applyBorder="1" applyAlignment="1">
      <alignment horizontal="left" vertical="center" wrapText="1"/>
    </xf>
    <xf numFmtId="0" fontId="111" fillId="0" borderId="7" xfId="37976" applyFont="1" applyFill="1" applyBorder="1" applyAlignment="1">
      <alignment horizontal="left" vertical="center" wrapText="1"/>
    </xf>
    <xf numFmtId="0" fontId="111" fillId="0" borderId="8" xfId="37976" applyFont="1" applyFill="1" applyBorder="1" applyAlignment="1">
      <alignment horizontal="left" vertical="center" wrapText="1"/>
    </xf>
    <xf numFmtId="0" fontId="111" fillId="0" borderId="5" xfId="37976" applyFont="1" applyFill="1" applyBorder="1" applyAlignment="1">
      <alignment vertical="center" wrapText="1"/>
    </xf>
    <xf numFmtId="0" fontId="167" fillId="0" borderId="5" xfId="37976" applyFont="1" applyFill="1" applyBorder="1" applyAlignment="1">
      <alignment horizontal="left" vertical="center" wrapText="1"/>
    </xf>
    <xf numFmtId="0" fontId="111" fillId="0" borderId="5" xfId="37976" applyFont="1" applyFill="1" applyBorder="1" applyAlignment="1">
      <alignment horizontal="left" vertical="top" wrapText="1"/>
    </xf>
    <xf numFmtId="0" fontId="0" fillId="0" borderId="0" xfId="0" applyFill="1" applyAlignment="1">
      <alignment horizontal="left" vertical="center"/>
    </xf>
    <xf numFmtId="0" fontId="31" fillId="0" borderId="0" xfId="34597" applyFont="1" applyFill="1" applyAlignment="1">
      <alignment horizontal="center" vertical="center"/>
    </xf>
    <xf numFmtId="0" fontId="113" fillId="0" borderId="5" xfId="34597" applyFont="1" applyFill="1" applyBorder="1" applyAlignment="1">
      <alignment horizontal="left" vertical="center"/>
    </xf>
    <xf numFmtId="0" fontId="24" fillId="0" borderId="0" xfId="35222" applyFill="1" applyBorder="1" applyAlignment="1">
      <alignment horizontal="center"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37" fillId="0" borderId="2" xfId="37966" applyFont="1" applyFill="1" applyBorder="1" applyAlignment="1">
      <alignment horizontal="center" vertical="center" wrapText="1"/>
    </xf>
    <xf numFmtId="0" fontId="137" fillId="0" borderId="4" xfId="37966" applyFont="1" applyFill="1" applyBorder="1" applyAlignment="1">
      <alignment horizontal="center" vertical="center" wrapText="1"/>
    </xf>
    <xf numFmtId="206" fontId="15" fillId="0" borderId="1" xfId="37966" applyNumberFormat="1" applyFont="1" applyFill="1" applyBorder="1" applyAlignment="1">
      <alignment horizontal="center" vertical="center" wrapText="1"/>
    </xf>
    <xf numFmtId="206" fontId="15" fillId="0" borderId="1" xfId="37966" applyNumberFormat="1" applyFont="1" applyFill="1" applyBorder="1" applyAlignment="1">
      <alignment horizontal="left" vertical="center" wrapText="1"/>
    </xf>
    <xf numFmtId="206" fontId="137" fillId="0" borderId="5" xfId="37966" applyNumberFormat="1" applyFont="1" applyFill="1" applyBorder="1" applyAlignment="1">
      <alignment horizontal="center" vertical="center" wrapText="1"/>
    </xf>
    <xf numFmtId="0" fontId="137" fillId="0" borderId="5" xfId="37966" applyFont="1" applyFill="1" applyBorder="1" applyAlignment="1">
      <alignment horizontal="center" vertical="center" wrapText="1"/>
    </xf>
    <xf numFmtId="0" fontId="137" fillId="0" borderId="5" xfId="37966" applyFont="1" applyFill="1" applyBorder="1" applyAlignment="1">
      <alignment horizontal="left" vertical="center" wrapText="1"/>
    </xf>
    <xf numFmtId="0" fontId="137" fillId="0" borderId="3" xfId="37966" applyFont="1" applyFill="1" applyBorder="1" applyAlignment="1">
      <alignment horizontal="center" vertical="center" wrapText="1"/>
    </xf>
    <xf numFmtId="0" fontId="137" fillId="2" borderId="2" xfId="37966" applyFont="1" applyFill="1" applyBorder="1" applyAlignment="1">
      <alignment horizontal="center" vertical="center" wrapText="1"/>
    </xf>
    <xf numFmtId="0" fontId="137" fillId="2" borderId="3" xfId="37966" applyFont="1" applyFill="1" applyBorder="1" applyAlignment="1">
      <alignment horizontal="center" vertical="center" wrapText="1"/>
    </xf>
    <xf numFmtId="0" fontId="137" fillId="2" borderId="4" xfId="37966" applyFont="1" applyFill="1" applyBorder="1" applyAlignment="1">
      <alignment horizontal="center" vertical="center" wrapText="1"/>
    </xf>
    <xf numFmtId="206" fontId="111" fillId="0" borderId="5" xfId="37966" applyNumberFormat="1" applyFont="1" applyFill="1" applyBorder="1" applyAlignment="1" applyProtection="1">
      <alignment horizontal="center" vertical="center" wrapText="1"/>
    </xf>
    <xf numFmtId="178" fontId="113" fillId="0" borderId="2" xfId="37971" applyNumberFormat="1" applyFont="1" applyFill="1" applyBorder="1" applyAlignment="1" applyProtection="1">
      <alignment horizontal="center" vertical="center" wrapText="1"/>
    </xf>
    <xf numFmtId="178" fontId="113" fillId="0" borderId="4" xfId="37971" applyNumberFormat="1" applyFont="1" applyFill="1" applyBorder="1" applyAlignment="1" applyProtection="1">
      <alignment horizontal="center" vertical="center" wrapText="1"/>
    </xf>
    <xf numFmtId="0" fontId="137" fillId="0" borderId="5" xfId="37980" applyFont="1" applyFill="1" applyBorder="1" applyAlignment="1" applyProtection="1">
      <alignment horizontal="left" vertical="center" wrapText="1"/>
    </xf>
    <xf numFmtId="0" fontId="15" fillId="0" borderId="5" xfId="37979" applyFont="1" applyFill="1" applyBorder="1" applyAlignment="1" applyProtection="1">
      <alignment horizontal="center" vertical="center" wrapText="1"/>
    </xf>
    <xf numFmtId="0" fontId="12" fillId="0" borderId="5" xfId="37971" applyFont="1" applyFill="1" applyBorder="1" applyAlignment="1" applyProtection="1">
      <alignment horizontal="left" vertical="center" wrapText="1"/>
    </xf>
    <xf numFmtId="0" fontId="111" fillId="0" borderId="5" xfId="37971" applyFont="1" applyFill="1" applyBorder="1" applyAlignment="1" applyProtection="1">
      <alignment horizontal="center" vertical="center" wrapText="1"/>
    </xf>
    <xf numFmtId="0" fontId="111" fillId="0" borderId="5" xfId="37971" applyFont="1" applyFill="1" applyBorder="1" applyAlignment="1" applyProtection="1">
      <alignment horizontal="center" vertical="center"/>
    </xf>
    <xf numFmtId="0" fontId="111" fillId="2" borderId="5" xfId="37971" applyFont="1" applyFill="1" applyBorder="1" applyAlignment="1" applyProtection="1">
      <alignment horizontal="center" vertical="center" wrapText="1"/>
    </xf>
    <xf numFmtId="0" fontId="111" fillId="0" borderId="5" xfId="37966" applyFont="1" applyFill="1" applyBorder="1" applyAlignment="1" applyProtection="1">
      <alignment horizontal="center" vertical="center" wrapText="1"/>
    </xf>
    <xf numFmtId="206" fontId="15" fillId="0" borderId="1" xfId="37966" applyNumberFormat="1" applyFont="1" applyFill="1" applyBorder="1" applyAlignment="1" applyProtection="1">
      <alignment horizontal="center" vertical="center" wrapText="1"/>
    </xf>
    <xf numFmtId="206" fontId="15" fillId="0" borderId="1" xfId="37966" applyNumberFormat="1" applyFont="1" applyFill="1" applyBorder="1" applyAlignment="1" applyProtection="1">
      <alignment horizontal="left" vertical="center" wrapText="1"/>
    </xf>
    <xf numFmtId="0" fontId="111" fillId="0" borderId="5" xfId="37966" applyFont="1" applyFill="1" applyBorder="1" applyAlignment="1" applyProtection="1">
      <alignment horizontal="left" vertical="center" wrapText="1"/>
    </xf>
    <xf numFmtId="0" fontId="111" fillId="0" borderId="2" xfId="37966" applyFont="1" applyFill="1" applyBorder="1" applyAlignment="1" applyProtection="1">
      <alignment horizontal="center" vertical="center" wrapText="1"/>
    </xf>
    <xf numFmtId="0" fontId="111" fillId="0" borderId="3" xfId="37966" applyFont="1" applyFill="1" applyBorder="1" applyAlignment="1" applyProtection="1">
      <alignment horizontal="center" vertical="center" wrapText="1"/>
    </xf>
    <xf numFmtId="0" fontId="111" fillId="0" borderId="4" xfId="37966" applyFont="1" applyFill="1" applyBorder="1" applyAlignment="1" applyProtection="1">
      <alignment horizontal="center" vertical="center" wrapText="1"/>
    </xf>
    <xf numFmtId="0" fontId="111" fillId="4" borderId="2" xfId="37966" applyFont="1" applyFill="1" applyBorder="1" applyAlignment="1" applyProtection="1">
      <alignment horizontal="center" vertical="center" wrapText="1"/>
    </xf>
    <xf numFmtId="0" fontId="111" fillId="4" borderId="3" xfId="37966" applyFont="1" applyFill="1" applyBorder="1" applyAlignment="1" applyProtection="1">
      <alignment horizontal="center" vertical="center" wrapText="1"/>
    </xf>
    <xf numFmtId="0" fontId="111" fillId="4" borderId="4" xfId="37966" applyFont="1" applyFill="1" applyBorder="1" applyAlignment="1" applyProtection="1">
      <alignment horizontal="center" vertical="center" wrapText="1"/>
    </xf>
    <xf numFmtId="206" fontId="1" fillId="0" borderId="1" xfId="37966" applyNumberFormat="1" applyFont="1" applyFill="1" applyBorder="1" applyAlignment="1" applyProtection="1">
      <alignment horizontal="center" vertical="center" wrapText="1"/>
    </xf>
    <xf numFmtId="206" fontId="1" fillId="0" borderId="1" xfId="37966" applyNumberFormat="1" applyFont="1" applyFill="1" applyBorder="1" applyAlignment="1" applyProtection="1">
      <alignment horizontal="left" vertical="center" wrapText="1"/>
    </xf>
    <xf numFmtId="206" fontId="114" fillId="0" borderId="6" xfId="37966" applyNumberFormat="1" applyFont="1" applyFill="1" applyBorder="1" applyAlignment="1" applyProtection="1">
      <alignment horizontal="center" vertical="center" wrapText="1"/>
    </xf>
    <xf numFmtId="206" fontId="114" fillId="0" borderId="7" xfId="37966" applyNumberFormat="1" applyFont="1" applyFill="1" applyBorder="1" applyAlignment="1" applyProtection="1">
      <alignment horizontal="center" vertical="center" wrapText="1"/>
    </xf>
    <xf numFmtId="206" fontId="114" fillId="0" borderId="8" xfId="37966" applyNumberFormat="1" applyFont="1" applyFill="1" applyBorder="1" applyAlignment="1" applyProtection="1">
      <alignment horizontal="center" vertical="center" wrapText="1"/>
    </xf>
    <xf numFmtId="0" fontId="114" fillId="0" borderId="2" xfId="37966" applyFont="1" applyFill="1" applyBorder="1" applyAlignment="1" applyProtection="1">
      <alignment horizontal="center" vertical="center" wrapText="1"/>
    </xf>
    <xf numFmtId="0" fontId="114" fillId="0" borderId="3" xfId="37966" applyFont="1" applyFill="1" applyBorder="1" applyAlignment="1" applyProtection="1">
      <alignment horizontal="center" vertical="center" wrapText="1"/>
    </xf>
    <xf numFmtId="0" fontId="114" fillId="0" borderId="4" xfId="37966" applyFont="1" applyFill="1" applyBorder="1" applyAlignment="1" applyProtection="1">
      <alignment horizontal="center" vertical="center" wrapText="1"/>
    </xf>
    <xf numFmtId="0" fontId="114" fillId="0" borderId="2" xfId="37966" applyFont="1" applyFill="1" applyBorder="1" applyAlignment="1" applyProtection="1">
      <alignment horizontal="left" vertical="center" wrapText="1"/>
    </xf>
    <xf numFmtId="0" fontId="114" fillId="0" borderId="3" xfId="37966" applyFont="1" applyFill="1" applyBorder="1" applyAlignment="1" applyProtection="1">
      <alignment horizontal="left" vertical="center" wrapText="1"/>
    </xf>
    <xf numFmtId="0" fontId="114" fillId="0" borderId="4" xfId="37966" applyFont="1" applyFill="1" applyBorder="1" applyAlignment="1" applyProtection="1">
      <alignment horizontal="left" vertical="center" wrapText="1"/>
    </xf>
    <xf numFmtId="0" fontId="114" fillId="4" borderId="2" xfId="37966" applyFont="1" applyFill="1" applyBorder="1" applyAlignment="1" applyProtection="1">
      <alignment horizontal="center" vertical="center" wrapText="1"/>
    </xf>
    <xf numFmtId="0" fontId="114" fillId="4" borderId="3" xfId="37966" applyFont="1" applyFill="1" applyBorder="1" applyAlignment="1" applyProtection="1">
      <alignment horizontal="center" vertical="center" wrapText="1"/>
    </xf>
    <xf numFmtId="0" fontId="114" fillId="4" borderId="4" xfId="37966" applyFont="1" applyFill="1" applyBorder="1" applyAlignment="1" applyProtection="1">
      <alignment horizontal="center" vertical="center" wrapText="1"/>
    </xf>
    <xf numFmtId="206" fontId="114" fillId="0" borderId="2" xfId="37966" applyNumberFormat="1" applyFont="1" applyFill="1" applyBorder="1" applyAlignment="1" applyProtection="1">
      <alignment horizontal="center" vertical="center" wrapText="1"/>
    </xf>
    <xf numFmtId="206" fontId="114" fillId="0" borderId="4" xfId="37966" applyNumberFormat="1" applyFont="1" applyFill="1" applyBorder="1" applyAlignment="1" applyProtection="1">
      <alignment horizontal="center" vertical="center" wrapText="1"/>
    </xf>
    <xf numFmtId="206" fontId="114" fillId="0" borderId="3" xfId="37966" applyNumberFormat="1" applyFont="1" applyFill="1" applyBorder="1" applyAlignment="1" applyProtection="1">
      <alignment horizontal="center" vertical="center" wrapText="1"/>
    </xf>
    <xf numFmtId="0" fontId="148" fillId="0" borderId="6" xfId="0" applyFont="1" applyFill="1" applyBorder="1" applyAlignment="1" applyProtection="1">
      <alignment vertical="center" wrapText="1"/>
    </xf>
    <xf numFmtId="0" fontId="148" fillId="0" borderId="7" xfId="0" applyFont="1" applyFill="1" applyBorder="1" applyAlignment="1" applyProtection="1">
      <alignment vertical="center" wrapText="1"/>
    </xf>
    <xf numFmtId="0" fontId="148" fillId="0" borderId="8" xfId="0" applyFont="1" applyFill="1" applyBorder="1" applyAlignment="1" applyProtection="1">
      <alignment vertical="center" wrapText="1"/>
    </xf>
    <xf numFmtId="0" fontId="116" fillId="0" borderId="5" xfId="0" applyFont="1" applyFill="1" applyBorder="1" applyAlignment="1" applyProtection="1">
      <alignment horizontal="center" vertical="center" wrapText="1"/>
    </xf>
    <xf numFmtId="0" fontId="116" fillId="0" borderId="2" xfId="0" applyFont="1" applyFill="1" applyBorder="1" applyAlignment="1" applyProtection="1">
      <alignment horizontal="center" vertical="center" wrapText="1"/>
    </xf>
    <xf numFmtId="0" fontId="116" fillId="0" borderId="4" xfId="0" applyFont="1" applyFill="1" applyBorder="1" applyAlignment="1" applyProtection="1">
      <alignment horizontal="center" vertical="center" wrapText="1"/>
    </xf>
    <xf numFmtId="0" fontId="116" fillId="2" borderId="2" xfId="0" applyFont="1" applyFill="1" applyBorder="1" applyAlignment="1" applyProtection="1">
      <alignment horizontal="center" vertical="center" wrapText="1"/>
    </xf>
    <xf numFmtId="0" fontId="116" fillId="2" borderId="4" xfId="0" applyFont="1" applyFill="1" applyBorder="1" applyAlignment="1" applyProtection="1">
      <alignment horizontal="center" vertical="center" wrapText="1"/>
    </xf>
    <xf numFmtId="0" fontId="115" fillId="0" borderId="0" xfId="0" applyFont="1" applyFill="1" applyAlignment="1" applyProtection="1">
      <alignment horizontal="center" vertical="center" wrapText="1"/>
    </xf>
    <xf numFmtId="0" fontId="9" fillId="0" borderId="5" xfId="37978" applyFont="1" applyBorder="1" applyAlignment="1">
      <alignment horizontal="center" vertical="center"/>
    </xf>
    <xf numFmtId="0" fontId="9" fillId="0" borderId="5" xfId="37978" applyFont="1" applyFill="1" applyBorder="1" applyAlignment="1">
      <alignment horizontal="center" vertical="center"/>
    </xf>
    <xf numFmtId="0" fontId="9" fillId="0" borderId="5" xfId="37978" applyFont="1" applyBorder="1" applyAlignment="1" applyProtection="1">
      <alignment horizontal="center" vertical="center"/>
    </xf>
    <xf numFmtId="0" fontId="10" fillId="0" borderId="6" xfId="37978" applyFont="1" applyFill="1" applyBorder="1" applyAlignment="1">
      <alignment horizontal="left" vertical="center" wrapText="1"/>
    </xf>
    <xf numFmtId="0" fontId="10" fillId="0" borderId="7" xfId="37978" applyFont="1" applyFill="1" applyBorder="1" applyAlignment="1">
      <alignment horizontal="left" vertical="center" wrapText="1"/>
    </xf>
    <xf numFmtId="0" fontId="10" fillId="0" borderId="8" xfId="37978" applyFont="1" applyFill="1" applyBorder="1" applyAlignment="1">
      <alignment horizontal="left" vertical="center" wrapText="1"/>
    </xf>
    <xf numFmtId="0" fontId="113" fillId="0" borderId="6" xfId="37978" applyFont="1" applyFill="1" applyBorder="1" applyAlignment="1">
      <alignment horizontal="center" vertical="center"/>
    </xf>
    <xf numFmtId="0" fontId="113" fillId="0" borderId="7" xfId="37978" applyFont="1" applyFill="1" applyBorder="1" applyAlignment="1">
      <alignment horizontal="center" vertical="center"/>
    </xf>
    <xf numFmtId="0" fontId="113" fillId="0" borderId="8" xfId="37978" applyFont="1" applyFill="1" applyBorder="1" applyAlignment="1">
      <alignment horizontal="center" vertical="center"/>
    </xf>
    <xf numFmtId="0" fontId="113" fillId="0" borderId="6" xfId="33713" applyFont="1" applyFill="1" applyBorder="1" applyAlignment="1">
      <alignment horizontal="center" vertical="center"/>
    </xf>
    <xf numFmtId="0" fontId="113" fillId="0" borderId="7" xfId="33713" applyFont="1" applyFill="1" applyBorder="1" applyAlignment="1">
      <alignment horizontal="center" vertical="center"/>
    </xf>
    <xf numFmtId="0" fontId="113" fillId="0" borderId="8" xfId="33713" applyFont="1" applyFill="1" applyBorder="1" applyAlignment="1">
      <alignment horizontal="center" vertical="center"/>
    </xf>
    <xf numFmtId="0" fontId="113" fillId="0" borderId="5" xfId="37978" applyFont="1" applyBorder="1" applyAlignment="1">
      <alignment horizontal="center" vertical="center" wrapText="1"/>
    </xf>
    <xf numFmtId="0" fontId="113" fillId="0" borderId="5" xfId="37978" applyFont="1" applyBorder="1" applyAlignment="1" applyProtection="1">
      <alignment horizontal="center" vertical="center" wrapText="1"/>
    </xf>
    <xf numFmtId="0" fontId="113" fillId="3" borderId="5" xfId="37978" applyFont="1" applyFill="1" applyBorder="1" applyAlignment="1">
      <alignment horizontal="center" vertical="center" wrapText="1"/>
    </xf>
    <xf numFmtId="0" fontId="113" fillId="3" borderId="5" xfId="37978" applyFont="1" applyFill="1" applyBorder="1" applyAlignment="1" applyProtection="1">
      <alignment horizontal="center" vertical="center" wrapText="1"/>
    </xf>
    <xf numFmtId="0" fontId="113" fillId="0" borderId="9" xfId="37978" applyFont="1" applyFill="1" applyBorder="1" applyAlignment="1">
      <alignment horizontal="center" vertical="center" wrapText="1"/>
    </xf>
    <xf numFmtId="0" fontId="113" fillId="0" borderId="10" xfId="37978" applyFont="1" applyFill="1" applyBorder="1" applyAlignment="1">
      <alignment horizontal="center" vertical="center" wrapText="1"/>
    </xf>
    <xf numFmtId="0" fontId="113" fillId="0" borderId="11" xfId="37978" applyFont="1" applyFill="1" applyBorder="1" applyAlignment="1">
      <alignment horizontal="center" vertical="center" wrapText="1"/>
    </xf>
    <xf numFmtId="0" fontId="113" fillId="0" borderId="12" xfId="37978" applyFont="1" applyFill="1" applyBorder="1" applyAlignment="1">
      <alignment horizontal="center" vertical="center" wrapText="1"/>
    </xf>
    <xf numFmtId="0" fontId="168" fillId="0" borderId="6" xfId="37966" applyFont="1" applyFill="1" applyBorder="1" applyAlignment="1" applyProtection="1">
      <alignment horizontal="center" vertical="center" wrapText="1"/>
    </xf>
    <xf numFmtId="0" fontId="168" fillId="0" borderId="7" xfId="37966" applyFont="1" applyFill="1" applyBorder="1" applyAlignment="1" applyProtection="1">
      <alignment horizontal="center" vertical="center" wrapText="1"/>
    </xf>
    <xf numFmtId="206" fontId="4" fillId="0" borderId="6" xfId="37966" applyNumberFormat="1" applyFont="1" applyFill="1" applyBorder="1" applyAlignment="1" applyProtection="1">
      <alignment horizontal="center" vertical="center" wrapText="1"/>
    </xf>
    <xf numFmtId="206" fontId="4" fillId="0" borderId="7" xfId="37966" applyNumberFormat="1" applyFont="1" applyFill="1" applyBorder="1" applyAlignment="1" applyProtection="1">
      <alignment horizontal="center" vertical="center" wrapText="1"/>
    </xf>
    <xf numFmtId="206" fontId="4" fillId="0" borderId="8" xfId="37966" applyNumberFormat="1" applyFont="1" applyFill="1" applyBorder="1" applyAlignment="1" applyProtection="1">
      <alignment horizontal="center" vertical="center" wrapText="1"/>
    </xf>
    <xf numFmtId="0" fontId="2" fillId="0" borderId="2" xfId="37966" applyFont="1" applyFill="1" applyBorder="1" applyAlignment="1" applyProtection="1">
      <alignment horizontal="center" vertical="center" wrapText="1"/>
    </xf>
    <xf numFmtId="0" fontId="2" fillId="0" borderId="3" xfId="37966" applyFont="1" applyFill="1" applyBorder="1" applyAlignment="1" applyProtection="1">
      <alignment horizontal="center" vertical="center" wrapText="1"/>
    </xf>
    <xf numFmtId="0" fontId="2" fillId="0" borderId="4" xfId="37966" applyFont="1" applyFill="1" applyBorder="1" applyAlignment="1" applyProtection="1">
      <alignment horizontal="center" vertical="center" wrapText="1"/>
    </xf>
    <xf numFmtId="0" fontId="2" fillId="0" borderId="2" xfId="37966" applyFont="1" applyFill="1" applyBorder="1" applyAlignment="1" applyProtection="1">
      <alignment horizontal="left" vertical="center" wrapText="1"/>
    </xf>
    <xf numFmtId="0" fontId="2" fillId="0" borderId="3" xfId="37966" applyFont="1" applyFill="1" applyBorder="1" applyAlignment="1" applyProtection="1">
      <alignment horizontal="left" vertical="center" wrapText="1"/>
    </xf>
    <xf numFmtId="0" fontId="2" fillId="0" borderId="4" xfId="37966" applyFont="1" applyFill="1" applyBorder="1" applyAlignment="1" applyProtection="1">
      <alignment horizontal="left" vertical="center" wrapText="1"/>
    </xf>
    <xf numFmtId="206" fontId="4" fillId="0" borderId="2" xfId="37966" applyNumberFormat="1" applyFont="1" applyFill="1" applyBorder="1" applyAlignment="1" applyProtection="1">
      <alignment horizontal="center" vertical="center" wrapText="1"/>
    </xf>
    <xf numFmtId="206" fontId="4" fillId="0" borderId="4" xfId="37966" applyNumberFormat="1" applyFont="1" applyFill="1" applyBorder="1" applyAlignment="1" applyProtection="1">
      <alignment horizontal="center" vertical="center" wrapText="1"/>
    </xf>
    <xf numFmtId="206" fontId="4" fillId="0" borderId="3" xfId="37966" applyNumberFormat="1" applyFont="1" applyFill="1" applyBorder="1" applyAlignment="1" applyProtection="1">
      <alignment horizontal="center" vertical="center" wrapText="1"/>
    </xf>
    <xf numFmtId="0" fontId="15" fillId="0" borderId="0" xfId="34989" applyFont="1" applyFill="1" applyAlignment="1" applyProtection="1">
      <alignment horizontal="center" vertical="center" wrapText="1"/>
    </xf>
    <xf numFmtId="0" fontId="10" fillId="0" borderId="0" xfId="34989" applyFont="1" applyFill="1" applyAlignment="1" applyProtection="1">
      <alignment horizontal="center" vertical="center" wrapText="1"/>
    </xf>
    <xf numFmtId="0" fontId="5" fillId="0" borderId="1" xfId="34989" applyFont="1" applyFill="1" applyBorder="1" applyAlignment="1" applyProtection="1">
      <alignment horizontal="left"/>
    </xf>
    <xf numFmtId="0" fontId="111" fillId="0" borderId="13" xfId="34989" applyFont="1" applyFill="1" applyBorder="1" applyAlignment="1" applyProtection="1">
      <alignment horizontal="left" vertical="center" wrapText="1"/>
    </xf>
    <xf numFmtId="0" fontId="13" fillId="0" borderId="1" xfId="23706" applyFont="1" applyFill="1" applyBorder="1" applyAlignment="1" applyProtection="1">
      <alignment horizontal="center" vertical="center"/>
    </xf>
    <xf numFmtId="0" fontId="13" fillId="0" borderId="0" xfId="23706" applyFont="1" applyFill="1" applyAlignment="1" applyProtection="1">
      <alignment horizontal="center" vertical="center"/>
    </xf>
    <xf numFmtId="179" fontId="117" fillId="0" borderId="13" xfId="34597" applyNumberFormat="1" applyFont="1" applyFill="1" applyBorder="1" applyAlignment="1" applyProtection="1">
      <alignment horizontal="left" vertical="center" wrapText="1"/>
    </xf>
  </cellXfs>
  <cellStyles count="39494">
    <cellStyle name="_x0004_" xfId="234"/>
    <cellStyle name="@ET_Style?CF_Style_10" xfId="237"/>
    <cellStyle name="_8月份月报0809012(1)" xfId="245"/>
    <cellStyle name="_9月工程月度资金计划表-报审080815" xfId="54"/>
    <cellStyle name="_Book1" xfId="255"/>
    <cellStyle name="_Book1 10" xfId="212"/>
    <cellStyle name="_Book1 10 2" xfId="220"/>
    <cellStyle name="_Book1 10 3" xfId="228"/>
    <cellStyle name="_Book1 11" xfId="215"/>
    <cellStyle name="_Book1 12" xfId="217"/>
    <cellStyle name="_Book1 13" xfId="221"/>
    <cellStyle name="_Book1 14" xfId="258"/>
    <cellStyle name="_Book1 14 2" xfId="262"/>
    <cellStyle name="_Book1 14 3" xfId="241"/>
    <cellStyle name="_Book1 15" xfId="266"/>
    <cellStyle name="_Book1 16" xfId="273"/>
    <cellStyle name="_Book1 17" xfId="282"/>
    <cellStyle name="_Book1 18" xfId="293"/>
    <cellStyle name="_Book1 19" xfId="302"/>
    <cellStyle name="_Book1 2" xfId="315"/>
    <cellStyle name="_Book1 2 10" xfId="316"/>
    <cellStyle name="_Book1 2 10 2" xfId="325"/>
    <cellStyle name="_Book1 2 10 3" xfId="328"/>
    <cellStyle name="_Book1 2 2" xfId="331"/>
    <cellStyle name="_Book1 2 2 2" xfId="335"/>
    <cellStyle name="_Book1 2 2 3" xfId="349"/>
    <cellStyle name="_Book1 2 3" xfId="364"/>
    <cellStyle name="_Book1 2 3 2" xfId="69"/>
    <cellStyle name="_Book1 2 3 3" xfId="44"/>
    <cellStyle name="_Book1 2 4" xfId="369"/>
    <cellStyle name="_Book1 2 4 2" xfId="374"/>
    <cellStyle name="_Book1 2 4 3" xfId="376"/>
    <cellStyle name="_Book1 2 5" xfId="378"/>
    <cellStyle name="_Book1 2 5 2" xfId="381"/>
    <cellStyle name="_Book1 2 5 3" xfId="385"/>
    <cellStyle name="_Book1 2 6" xfId="29"/>
    <cellStyle name="_Book1 2 6 2" xfId="387"/>
    <cellStyle name="_Book1 2 6 3" xfId="400"/>
    <cellStyle name="_Book1 2 7" xfId="405"/>
    <cellStyle name="_Book1 2 7 2" xfId="415"/>
    <cellStyle name="_Book1 2 7 3" xfId="429"/>
    <cellStyle name="_Book1 2 8" xfId="444"/>
    <cellStyle name="_Book1 2 8 2" xfId="474"/>
    <cellStyle name="_Book1 2 8 3" xfId="495"/>
    <cellStyle name="_Book1 2 9" xfId="503"/>
    <cellStyle name="_Book1 2 9 2" xfId="511"/>
    <cellStyle name="_Book1 2 9 3" xfId="523"/>
    <cellStyle name="_Book1 20" xfId="267"/>
    <cellStyle name="_Book1 21" xfId="274"/>
    <cellStyle name="_Book1 22" xfId="283"/>
    <cellStyle name="_Book1 3" xfId="525"/>
    <cellStyle name="_Book1 3 10" xfId="538"/>
    <cellStyle name="_Book1 3 10 2" xfId="546"/>
    <cellStyle name="_Book1 3 10 3" xfId="554"/>
    <cellStyle name="_Book1 3 2" xfId="561"/>
    <cellStyle name="_Book1 3 2 2" xfId="569"/>
    <cellStyle name="_Book1 3 2 3" xfId="577"/>
    <cellStyle name="_Book1 3 3" xfId="341"/>
    <cellStyle name="_Book1 3 3 2" xfId="580"/>
    <cellStyle name="_Book1 3 3 3" xfId="587"/>
    <cellStyle name="_Book1 3 4" xfId="354"/>
    <cellStyle name="_Book1 3 4 2" xfId="590"/>
    <cellStyle name="_Book1 3 4 3" xfId="601"/>
    <cellStyle name="_Book1 3 5" xfId="611"/>
    <cellStyle name="_Book1 3 5 2" xfId="614"/>
    <cellStyle name="_Book1 3 5 3" xfId="616"/>
    <cellStyle name="_Book1 3 6" xfId="632"/>
    <cellStyle name="_Book1 3 6 2" xfId="637"/>
    <cellStyle name="_Book1 3 6 3" xfId="641"/>
    <cellStyle name="_Book1 3 7" xfId="650"/>
    <cellStyle name="_Book1 3 7 2" xfId="653"/>
    <cellStyle name="_Book1 3 7 3" xfId="174"/>
    <cellStyle name="_Book1 3 8" xfId="656"/>
    <cellStyle name="_Book1 3 8 2" xfId="661"/>
    <cellStyle name="_Book1 3 8 3" xfId="665"/>
    <cellStyle name="_Book1 3 9" xfId="668"/>
    <cellStyle name="_Book1 3 9 2" xfId="677"/>
    <cellStyle name="_Book1 3 9 3" xfId="680"/>
    <cellStyle name="_Book1 4" xfId="682"/>
    <cellStyle name="_Book1 4 2" xfId="687"/>
    <cellStyle name="_Book1 4 3" xfId="73"/>
    <cellStyle name="_Book1 5" xfId="689"/>
    <cellStyle name="_Book1 6" xfId="691"/>
    <cellStyle name="_Book1 7" xfId="264"/>
    <cellStyle name="_Book1 7 2" xfId="702"/>
    <cellStyle name="_Book1 7 3" xfId="390"/>
    <cellStyle name="_Book1 8" xfId="250"/>
    <cellStyle name="_Book1 9" xfId="704"/>
    <cellStyle name="_Book1 9 2" xfId="721"/>
    <cellStyle name="_Book1 9 3" xfId="454"/>
    <cellStyle name="_Book1_1" xfId="724"/>
    <cellStyle name="_Book1_1 10" xfId="737"/>
    <cellStyle name="_Book1_1 11" xfId="747"/>
    <cellStyle name="_Book1_1 12" xfId="757"/>
    <cellStyle name="_Book1_1 13" xfId="764"/>
    <cellStyle name="_Book1_1 14" xfId="770"/>
    <cellStyle name="_Book1_1 15" xfId="777"/>
    <cellStyle name="_Book1_1 16" xfId="783"/>
    <cellStyle name="_Book1_1 17" xfId="790"/>
    <cellStyle name="_Book1_1 18" xfId="797"/>
    <cellStyle name="_Book1_1 19" xfId="802"/>
    <cellStyle name="_Book1_1 2" xfId="804"/>
    <cellStyle name="_Book1_1 2 10" xfId="812"/>
    <cellStyle name="_Book1_1 2 2" xfId="815"/>
    <cellStyle name="_Book1_1 2 3" xfId="818"/>
    <cellStyle name="_Book1_1 2 4" xfId="91"/>
    <cellStyle name="_Book1_1 2 5" xfId="324"/>
    <cellStyle name="_Book1_1 2 6" xfId="824"/>
    <cellStyle name="_Book1_1 2 7" xfId="831"/>
    <cellStyle name="_Book1_1 2 8" xfId="834"/>
    <cellStyle name="_Book1_1 2 9" xfId="839"/>
    <cellStyle name="_Book1_1 20" xfId="776"/>
    <cellStyle name="_Book1_1 21" xfId="782"/>
    <cellStyle name="_Book1_1 22" xfId="789"/>
    <cellStyle name="_Book1_1 23" xfId="796"/>
    <cellStyle name="_Book1_1 24" xfId="801"/>
    <cellStyle name="_Book1_1 25" xfId="843"/>
    <cellStyle name="_Book1_1 26" xfId="847"/>
    <cellStyle name="_Book1_1 27" xfId="851"/>
    <cellStyle name="_Book1_1 28" xfId="856"/>
    <cellStyle name="_Book1_1 29" xfId="861"/>
    <cellStyle name="_Book1_1 3" xfId="867"/>
    <cellStyle name="_Book1_1 3 10" xfId="829"/>
    <cellStyle name="_Book1_1 3 2" xfId="872"/>
    <cellStyle name="_Book1_1 3 3" xfId="875"/>
    <cellStyle name="_Book1_1 3 4" xfId="876"/>
    <cellStyle name="_Book1_1 3 5" xfId="877"/>
    <cellStyle name="_Book1_1 3 6" xfId="881"/>
    <cellStyle name="_Book1_1 3 7" xfId="883"/>
    <cellStyle name="_Book1_1 3 8" xfId="884"/>
    <cellStyle name="_Book1_1 3 9" xfId="885"/>
    <cellStyle name="_Book1_1 4" xfId="893"/>
    <cellStyle name="_Book1_1 5" xfId="902"/>
    <cellStyle name="_Book1_1 6" xfId="914"/>
    <cellStyle name="_Book1_1 7" xfId="717"/>
    <cellStyle name="_Book1_1 8" xfId="458"/>
    <cellStyle name="_Book1_1 9" xfId="491"/>
    <cellStyle name="_Book1_1_一期景观安装工程" xfId="915"/>
    <cellStyle name="_Book1_1_一期景观安装工程 10" xfId="920"/>
    <cellStyle name="_Book1_1_一期景观安装工程 11" xfId="814"/>
    <cellStyle name="_Book1_1_一期景观安装工程 12" xfId="924"/>
    <cellStyle name="_Book1_1_一期景观安装工程 13" xfId="930"/>
    <cellStyle name="_Book1_1_一期景观安装工程 14" xfId="937"/>
    <cellStyle name="_Book1_1_一期景观安装工程 15" xfId="943"/>
    <cellStyle name="_Book1_1_一期景观安装工程 16" xfId="952"/>
    <cellStyle name="_Book1_1_一期景观安装工程 17" xfId="962"/>
    <cellStyle name="_Book1_1_一期景观安装工程 18" xfId="969"/>
    <cellStyle name="_Book1_1_一期景观安装工程 19" xfId="977"/>
    <cellStyle name="_Book1_1_一期景观安装工程 2" xfId="219"/>
    <cellStyle name="_Book1_1_一期景观安装工程 2 10" xfId="980"/>
    <cellStyle name="_Book1_1_一期景观安装工程 2 2" xfId="988"/>
    <cellStyle name="_Book1_1_一期景观安装工程 2 3" xfId="997"/>
    <cellStyle name="_Book1_1_一期景观安装工程 2 4" xfId="1002"/>
    <cellStyle name="_Book1_1_一期景观安装工程 2 5" xfId="1011"/>
    <cellStyle name="_Book1_1_一期景观安装工程 2 6" xfId="1016"/>
    <cellStyle name="_Book1_1_一期景观安装工程 2 7" xfId="1017"/>
    <cellStyle name="_Book1_1_一期景观安装工程 2 8" xfId="1018"/>
    <cellStyle name="_Book1_1_一期景观安装工程 2 9" xfId="1019"/>
    <cellStyle name="_Book1_1_一期景观安装工程 20" xfId="942"/>
    <cellStyle name="_Book1_1_一期景观安装工程 21" xfId="951"/>
    <cellStyle name="_Book1_1_一期景观安装工程 22" xfId="961"/>
    <cellStyle name="_Book1_1_一期景观安装工程 23" xfId="968"/>
    <cellStyle name="_Book1_1_一期景观安装工程 24" xfId="976"/>
    <cellStyle name="_Book1_1_一期景观安装工程 25" xfId="1024"/>
    <cellStyle name="_Book1_1_一期景观安装工程 26" xfId="1034"/>
    <cellStyle name="_Book1_1_一期景观安装工程 27" xfId="114"/>
    <cellStyle name="_Book1_1_一期景观安装工程 28" xfId="1046"/>
    <cellStyle name="_Book1_1_一期景观安装工程 29" xfId="1054"/>
    <cellStyle name="_Book1_1_一期景观安装工程 3" xfId="223"/>
    <cellStyle name="_Book1_1_一期景观安装工程 3 10" xfId="1055"/>
    <cellStyle name="_Book1_1_一期景观安装工程 3 2" xfId="1058"/>
    <cellStyle name="_Book1_1_一期景观安装工程 3 3" xfId="1066"/>
    <cellStyle name="_Book1_1_一期景观安装工程 3 4" xfId="1069"/>
    <cellStyle name="_Book1_1_一期景观安装工程 3 5" xfId="1076"/>
    <cellStyle name="_Book1_1_一期景观安装工程 3 6" xfId="1082"/>
    <cellStyle name="_Book1_1_一期景观安装工程 3 7" xfId="1083"/>
    <cellStyle name="_Book1_1_一期景观安装工程 3 8" xfId="1084"/>
    <cellStyle name="_Book1_1_一期景观安装工程 3 9" xfId="1085"/>
    <cellStyle name="_Book1_1_一期景观安装工程 4" xfId="260"/>
    <cellStyle name="_Book1_1_一期景观安装工程 5" xfId="269"/>
    <cellStyle name="_Book1_1_一期景观安装工程 6" xfId="276"/>
    <cellStyle name="_Book1_1_一期景观安装工程 7" xfId="286"/>
    <cellStyle name="_Book1_1_一期景观安装工程 8" xfId="299"/>
    <cellStyle name="_Book1_1_一期景观安装工程 9" xfId="307"/>
    <cellStyle name="_Book1_万科西岭二期消防工程量清单20100507" xfId="207"/>
    <cellStyle name="_Book1_一期景观安装工程" xfId="1086"/>
    <cellStyle name="_Book1_一期景观安装工程 10" xfId="447"/>
    <cellStyle name="_Book1_一期景观安装工程 10 2" xfId="459"/>
    <cellStyle name="_Book1_一期景观安装工程 10 3" xfId="490"/>
    <cellStyle name="_Book1_一期景观安装工程 11" xfId="500"/>
    <cellStyle name="_Book1_一期景观安装工程 12" xfId="1093"/>
    <cellStyle name="_Book1_一期景观安装工程 13" xfId="733"/>
    <cellStyle name="_Book1_一期景观安装工程 14" xfId="742"/>
    <cellStyle name="_Book1_一期景观安装工程 15" xfId="753"/>
    <cellStyle name="_Book1_一期景观安装工程 15 2" xfId="1101"/>
    <cellStyle name="_Book1_一期景观安装工程 15 3" xfId="1109"/>
    <cellStyle name="_Book1_一期景观安装工程 16" xfId="763"/>
    <cellStyle name="_Book1_一期景观安装工程 16 2" xfId="1113"/>
    <cellStyle name="_Book1_一期景观安装工程 16 3" xfId="1125"/>
    <cellStyle name="_Book1_一期景观安装工程 17" xfId="769"/>
    <cellStyle name="_Book1_一期景观安装工程 18" xfId="775"/>
    <cellStyle name="_Book1_一期景观安装工程 19" xfId="781"/>
    <cellStyle name="_Book1_一期景观安装工程 2" xfId="974"/>
    <cellStyle name="_Book1_一期景观安装工程 2 10" xfId="1128"/>
    <cellStyle name="_Book1_一期景观安装工程 2 2" xfId="586"/>
    <cellStyle name="_Book1_一期景观安装工程 2 3" xfId="1129"/>
    <cellStyle name="_Book1_一期景观安装工程 2 4" xfId="1138"/>
    <cellStyle name="_Book1_一期景观安装工程 2 5" xfId="1147"/>
    <cellStyle name="_Book1_一期景观安装工程 2 6" xfId="1148"/>
    <cellStyle name="_Book1_一期景观安装工程 2 7" xfId="803"/>
    <cellStyle name="_Book1_一期景观安装工程 2 8" xfId="866"/>
    <cellStyle name="_Book1_一期景观安装工程 2 9" xfId="892"/>
    <cellStyle name="_Book1_一期景观安装工程 20" xfId="752"/>
    <cellStyle name="_Book1_一期景观安装工程 21" xfId="762"/>
    <cellStyle name="_Book1_一期景观安装工程 21 2" xfId="1112"/>
    <cellStyle name="_Book1_一期景观安装工程 21 3" xfId="1124"/>
    <cellStyle name="_Book1_一期景观安装工程 22" xfId="768"/>
    <cellStyle name="_Book1_一期景观安装工程 23" xfId="774"/>
    <cellStyle name="_Book1_一期景观安装工程 24" xfId="780"/>
    <cellStyle name="_Book1_一期景观安装工程 25" xfId="786"/>
    <cellStyle name="_Book1_一期景观安装工程 26" xfId="793"/>
    <cellStyle name="_Book1_一期景观安装工程 27" xfId="800"/>
    <cellStyle name="_Book1_一期景观安装工程 28" xfId="842"/>
    <cellStyle name="_Book1_一期景观安装工程 29" xfId="846"/>
    <cellStyle name="_Book1_一期景观安装工程 3" xfId="1021"/>
    <cellStyle name="_Book1_一期景观安装工程 3 10" xfId="1152"/>
    <cellStyle name="_Book1_一期景观安装工程 3 2" xfId="599"/>
    <cellStyle name="_Book1_一期景观安装工程 3 3" xfId="236"/>
    <cellStyle name="_Book1_一期景观安装工程 3 4" xfId="1161"/>
    <cellStyle name="_Book1_一期景观安装工程 3 5" xfId="1174"/>
    <cellStyle name="_Book1_一期景观安装工程 3 6" xfId="1177"/>
    <cellStyle name="_Book1_一期景观安装工程 3 7" xfId="1183"/>
    <cellStyle name="_Book1_一期景观安装工程 3 8" xfId="1194"/>
    <cellStyle name="_Book1_一期景观安装工程 3 9" xfId="1202"/>
    <cellStyle name="_Book1_一期景观安装工程 4" xfId="1031"/>
    <cellStyle name="_Book1_一期景观安装工程 5" xfId="117"/>
    <cellStyle name="_Book1_一期景观安装工程 5 2" xfId="638"/>
    <cellStyle name="_Book1_一期景观安装工程 5 3" xfId="1206"/>
    <cellStyle name="_Book1_一期景观安装工程 6" xfId="1044"/>
    <cellStyle name="_Book1_一期景观安装工程 6 2" xfId="176"/>
    <cellStyle name="_Book1_一期景观安装工程 6 3" xfId="180"/>
    <cellStyle name="_Book1_一期景观安装工程 7" xfId="1052"/>
    <cellStyle name="_Book1_一期景观安装工程 7 2" xfId="662"/>
    <cellStyle name="_Book1_一期景观安装工程 7 3" xfId="1208"/>
    <cellStyle name="_Book1_一期景观安装工程 8" xfId="1209"/>
    <cellStyle name="_Book1_一期景观安装工程 9" xfId="1210"/>
    <cellStyle name="_BRC" xfId="1212"/>
    <cellStyle name="_BRC 2" xfId="65"/>
    <cellStyle name="_BRC 2 2" xfId="1215"/>
    <cellStyle name="_BRC 2 3" xfId="579"/>
    <cellStyle name="_BRC清单" xfId="1216"/>
    <cellStyle name="_BRC清单 2" xfId="171"/>
    <cellStyle name="_BRC清单 2 2" xfId="1221"/>
    <cellStyle name="_BRC清单 2 3" xfId="1225"/>
    <cellStyle name="_ET_STYLE_NoName_00_" xfId="1230"/>
    <cellStyle name="_ET_STYLE_NoName_00_ 10" xfId="1243"/>
    <cellStyle name="_ET_STYLE_NoName_00_ 10 2" xfId="149"/>
    <cellStyle name="_ET_STYLE_NoName_00_ 10 3" xfId="118"/>
    <cellStyle name="_ET_STYLE_NoName_00_ 11" xfId="1256"/>
    <cellStyle name="_ET_STYLE_NoName_00_ 11 2" xfId="1258"/>
    <cellStyle name="_ET_STYLE_NoName_00_ 11 2 2" xfId="1261"/>
    <cellStyle name="_ET_STYLE_NoName_00_ 11 2 3" xfId="1266"/>
    <cellStyle name="_ET_STYLE_NoName_00_ 11 3" xfId="1271"/>
    <cellStyle name="_ET_STYLE_NoName_00_ 11 3 2" xfId="1274"/>
    <cellStyle name="_ET_STYLE_NoName_00_ 11 3 3" xfId="1277"/>
    <cellStyle name="_ET_STYLE_NoName_00_ 11 4" xfId="1278"/>
    <cellStyle name="_ET_STYLE_NoName_00_ 11 4 2" xfId="227"/>
    <cellStyle name="_ET_STYLE_NoName_00_ 11 4 3" xfId="261"/>
    <cellStyle name="_ET_STYLE_NoName_00_ 11 5" xfId="1281"/>
    <cellStyle name="_ET_STYLE_NoName_00_ 11 5 2" xfId="365"/>
    <cellStyle name="_ET_STYLE_NoName_00_ 11 5 3" xfId="373"/>
    <cellStyle name="_ET_STYLE_NoName_00_ 11 6" xfId="332"/>
    <cellStyle name="_ET_STYLE_NoName_00_ 11 6 2" xfId="344"/>
    <cellStyle name="_ET_STYLE_NoName_00_ 11 6 3" xfId="361"/>
    <cellStyle name="_ET_STYLE_NoName_00_ 11 7" xfId="366"/>
    <cellStyle name="_ET_STYLE_NoName_00_ 11 7 2" xfId="77"/>
    <cellStyle name="_ET_STYLE_NoName_00_ 11 7 3" xfId="46"/>
    <cellStyle name="_ET_STYLE_NoName_00_ 12" xfId="1284"/>
    <cellStyle name="_ET_STYLE_NoName_00_ 12 2" xfId="849"/>
    <cellStyle name="_ET_STYLE_NoName_00_ 12 2 2" xfId="1288"/>
    <cellStyle name="_ET_STYLE_NoName_00_ 12 2 3" xfId="1291"/>
    <cellStyle name="_ET_STYLE_NoName_00_ 12 3" xfId="854"/>
    <cellStyle name="_ET_STYLE_NoName_00_ 12 3 2" xfId="949"/>
    <cellStyle name="_ET_STYLE_NoName_00_ 12 3 3" xfId="959"/>
    <cellStyle name="_ET_STYLE_NoName_00_ 12 4" xfId="859"/>
    <cellStyle name="_ET_STYLE_NoName_00_ 12 4 2" xfId="1292"/>
    <cellStyle name="_ET_STYLE_NoName_00_ 12 4 3" xfId="139"/>
    <cellStyle name="_ET_STYLE_NoName_00_ 12 5" xfId="1295"/>
    <cellStyle name="_ET_STYLE_NoName_00_ 12 5 2" xfId="1296"/>
    <cellStyle name="_ET_STYLE_NoName_00_ 12 5 3" xfId="1297"/>
    <cellStyle name="_ET_STYLE_NoName_00_ 12 6" xfId="558"/>
    <cellStyle name="_ET_STYLE_NoName_00_ 12 6 2" xfId="563"/>
    <cellStyle name="_ET_STYLE_NoName_00_ 12 6 3" xfId="571"/>
    <cellStyle name="_ET_STYLE_NoName_00_ 12 7" xfId="346"/>
    <cellStyle name="_ET_STYLE_NoName_00_ 12 7 2" xfId="578"/>
    <cellStyle name="_ET_STYLE_NoName_00_ 12 7 3" xfId="585"/>
    <cellStyle name="_ET_STYLE_NoName_00_ 13" xfId="531"/>
    <cellStyle name="_ET_STYLE_NoName_00_ 13 2" xfId="543"/>
    <cellStyle name="_ET_STYLE_NoName_00_ 13 2 2" xfId="434"/>
    <cellStyle name="_ET_STYLE_NoName_00_ 13 2 3" xfId="96"/>
    <cellStyle name="_ET_STYLE_NoName_00_ 13 3" xfId="551"/>
    <cellStyle name="_ET_STYLE_NoName_00_ 13 3 2" xfId="480"/>
    <cellStyle name="_ET_STYLE_NoName_00_ 13 3 3" xfId="1305"/>
    <cellStyle name="_ET_STYLE_NoName_00_ 13 4" xfId="1308"/>
    <cellStyle name="_ET_STYLE_NoName_00_ 13 4 2" xfId="512"/>
    <cellStyle name="_ET_STYLE_NoName_00_ 13 4 3" xfId="12"/>
    <cellStyle name="_ET_STYLE_NoName_00_ 13 5" xfId="1311"/>
    <cellStyle name="_ET_STYLE_NoName_00_ 13 5 2" xfId="1312"/>
    <cellStyle name="_ET_STYLE_NoName_00_ 13 5 3" xfId="1317"/>
    <cellStyle name="_ET_STYLE_NoName_00_ 13 6" xfId="683"/>
    <cellStyle name="_ET_STYLE_NoName_00_ 13 6 2" xfId="1322"/>
    <cellStyle name="_ET_STYLE_NoName_00_ 13 6 3" xfId="1331"/>
    <cellStyle name="_ET_STYLE_NoName_00_ 13 7" xfId="79"/>
    <cellStyle name="_ET_STYLE_NoName_00_ 13 7 2" xfId="1338"/>
    <cellStyle name="_ET_STYLE_NoName_00_ 13 7 3" xfId="1345"/>
    <cellStyle name="_ET_STYLE_NoName_00_ 14" xfId="1355"/>
    <cellStyle name="_ET_STYLE_NoName_00_ 14 2" xfId="1043"/>
    <cellStyle name="_ET_STYLE_NoName_00_ 14 3" xfId="1051"/>
    <cellStyle name="_ET_STYLE_NoName_00_ 15" xfId="1357"/>
    <cellStyle name="_ET_STYLE_NoName_00_ 15 2" xfId="1362"/>
    <cellStyle name="_ET_STYLE_NoName_00_ 15 2 2" xfId="1366"/>
    <cellStyle name="_ET_STYLE_NoName_00_ 15 2 3" xfId="1369"/>
    <cellStyle name="_ET_STYLE_NoName_00_ 15 3" xfId="1371"/>
    <cellStyle name="_ET_STYLE_NoName_00_ 15 3 2" xfId="1382"/>
    <cellStyle name="_ET_STYLE_NoName_00_ 15 3 3" xfId="1393"/>
    <cellStyle name="_ET_STYLE_NoName_00_ 15 4" xfId="1403"/>
    <cellStyle name="_ET_STYLE_NoName_00_ 15 4 2" xfId="1005"/>
    <cellStyle name="_ET_STYLE_NoName_00_ 15 4 3" xfId="1012"/>
    <cellStyle name="_ET_STYLE_NoName_00_ 15 5" xfId="1410"/>
    <cellStyle name="_ET_STYLE_NoName_00_ 15 5 2" xfId="1070"/>
    <cellStyle name="_ET_STYLE_NoName_00_ 15 5 3" xfId="1077"/>
    <cellStyle name="_ET_STYLE_NoName_00_ 15 6" xfId="127"/>
    <cellStyle name="_ET_STYLE_NoName_00_ 15 6 2" xfId="1419"/>
    <cellStyle name="_ET_STYLE_NoName_00_ 15 6 3" xfId="173"/>
    <cellStyle name="_ET_STYLE_NoName_00_ 15 7" xfId="384"/>
    <cellStyle name="_ET_STYLE_NoName_00_ 15 7 2" xfId="1421"/>
    <cellStyle name="_ET_STYLE_NoName_00_ 15 7 3" xfId="1423"/>
    <cellStyle name="_ET_STYLE_NoName_00_ 16" xfId="1425"/>
    <cellStyle name="_ET_STYLE_NoName_00_ 16 2" xfId="1430"/>
    <cellStyle name="_ET_STYLE_NoName_00_ 16 2 2" xfId="280"/>
    <cellStyle name="_ET_STYLE_NoName_00_ 16 2 3" xfId="291"/>
    <cellStyle name="_ET_STYLE_NoName_00_ 16 3" xfId="1434"/>
    <cellStyle name="_ET_STYLE_NoName_00_ 16 3 2" xfId="36"/>
    <cellStyle name="_ET_STYLE_NoName_00_ 16 3 3" xfId="413"/>
    <cellStyle name="_ET_STYLE_NoName_00_ 16 4" xfId="134"/>
    <cellStyle name="_ET_STYLE_NoName_00_ 16 4 2" xfId="621"/>
    <cellStyle name="_ET_STYLE_NoName_00_ 16 4 3" xfId="643"/>
    <cellStyle name="_ET_STYLE_NoName_00_ 16 5" xfId="1444"/>
    <cellStyle name="_ET_STYLE_NoName_00_ 16 5 2" xfId="83"/>
    <cellStyle name="_ET_STYLE_NoName_00_ 16 5 3" xfId="201"/>
    <cellStyle name="_ET_STYLE_NoName_00_ 16 6" xfId="700"/>
    <cellStyle name="_ET_STYLE_NoName_00_ 16 6 2" xfId="1448"/>
    <cellStyle name="_ET_STYLE_NoName_00_ 16 6 3" xfId="62"/>
    <cellStyle name="_ET_STYLE_NoName_00_ 16 7" xfId="392"/>
    <cellStyle name="_ET_STYLE_NoName_00_ 16 7 2" xfId="1455"/>
    <cellStyle name="_ET_STYLE_NoName_00_ 16 7 3" xfId="1459"/>
    <cellStyle name="_ET_STYLE_NoName_00_ 17" xfId="1462"/>
    <cellStyle name="_ET_STYLE_NoName_00_ 17 2" xfId="1473"/>
    <cellStyle name="_ET_STYLE_NoName_00_ 17 2 2" xfId="1478"/>
    <cellStyle name="_ET_STYLE_NoName_00_ 17 2 3" xfId="1484"/>
    <cellStyle name="_ET_STYLE_NoName_00_ 17 3" xfId="1488"/>
    <cellStyle name="_ET_STYLE_NoName_00_ 17 3 2" xfId="1496"/>
    <cellStyle name="_ET_STYLE_NoName_00_ 17 3 3" xfId="1502"/>
    <cellStyle name="_ET_STYLE_NoName_00_ 17 4" xfId="1507"/>
    <cellStyle name="_ET_STYLE_NoName_00_ 17 4 2" xfId="1515"/>
    <cellStyle name="_ET_STYLE_NoName_00_ 17 4 3" xfId="1522"/>
    <cellStyle name="_ET_STYLE_NoName_00_ 17 5" xfId="1527"/>
    <cellStyle name="_ET_STYLE_NoName_00_ 17 5 2" xfId="1132"/>
    <cellStyle name="_ET_STYLE_NoName_00_ 17 5 3" xfId="1141"/>
    <cellStyle name="_ET_STYLE_NoName_00_ 17 6" xfId="1539"/>
    <cellStyle name="_ET_STYLE_NoName_00_ 17 6 2" xfId="1155"/>
    <cellStyle name="_ET_STYLE_NoName_00_ 17 6 3" xfId="1168"/>
    <cellStyle name="_ET_STYLE_NoName_00_ 17 7" xfId="426"/>
    <cellStyle name="_ET_STYLE_NoName_00_ 17 7 2" xfId="1552"/>
    <cellStyle name="_ET_STYLE_NoName_00_ 17 7 3" xfId="1562"/>
    <cellStyle name="_ET_STYLE_NoName_00_ 18" xfId="1570"/>
    <cellStyle name="_ET_STYLE_NoName_00_ 18 2" xfId="862"/>
    <cellStyle name="_ET_STYLE_NoName_00_ 18 2 2" xfId="870"/>
    <cellStyle name="_ET_STYLE_NoName_00_ 18 2 3" xfId="873"/>
    <cellStyle name="_ET_STYLE_NoName_00_ 18 3" xfId="886"/>
    <cellStyle name="_ET_STYLE_NoName_00_ 18 3 2" xfId="1578"/>
    <cellStyle name="_ET_STYLE_NoName_00_ 18 3 3" xfId="1584"/>
    <cellStyle name="_ET_STYLE_NoName_00_ 18 4" xfId="897"/>
    <cellStyle name="_ET_STYLE_NoName_00_ 18 4 2" xfId="1591"/>
    <cellStyle name="_ET_STYLE_NoName_00_ 18 4 3" xfId="1600"/>
    <cellStyle name="_ET_STYLE_NoName_00_ 18 5" xfId="906"/>
    <cellStyle name="_ET_STYLE_NoName_00_ 18 5 2" xfId="1605"/>
    <cellStyle name="_ET_STYLE_NoName_00_ 18 5 3" xfId="1613"/>
    <cellStyle name="_ET_STYLE_NoName_00_ 18 6" xfId="708"/>
    <cellStyle name="_ET_STYLE_NoName_00_ 18 6 2" xfId="1234"/>
    <cellStyle name="_ET_STYLE_NoName_00_ 18 6 3" xfId="1249"/>
    <cellStyle name="_ET_STYLE_NoName_00_ 18 7" xfId="464"/>
    <cellStyle name="_ET_STYLE_NoName_00_ 18 7 2" xfId="1620"/>
    <cellStyle name="_ET_STYLE_NoName_00_ 18 7 3" xfId="1628"/>
    <cellStyle name="_ET_STYLE_NoName_00_ 19" xfId="672"/>
    <cellStyle name="_ET_STYLE_NoName_00_ 19 2" xfId="1190"/>
    <cellStyle name="_ET_STYLE_NoName_00_ 19 2 2" xfId="1637"/>
    <cellStyle name="_ET_STYLE_NoName_00_ 19 2 3" xfId="1640"/>
    <cellStyle name="_ET_STYLE_NoName_00_ 19 3" xfId="1198"/>
    <cellStyle name="_ET_STYLE_NoName_00_ 19 3 2" xfId="1643"/>
    <cellStyle name="_ET_STYLE_NoName_00_ 19 3 3" xfId="1228"/>
    <cellStyle name="_ET_STYLE_NoName_00_ 19 4" xfId="1647"/>
    <cellStyle name="_ET_STYLE_NoName_00_ 19 4 2" xfId="1651"/>
    <cellStyle name="_ET_STYLE_NoName_00_ 19 4 3" xfId="1655"/>
    <cellStyle name="_ET_STYLE_NoName_00_ 19 5" xfId="1657"/>
    <cellStyle name="_ET_STYLE_NoName_00_ 19 5 2" xfId="1665"/>
    <cellStyle name="_ET_STYLE_NoName_00_ 19 5 3" xfId="1668"/>
    <cellStyle name="_ET_STYLE_NoName_00_ 19 6" xfId="1671"/>
    <cellStyle name="_ET_STYLE_NoName_00_ 19 6 2" xfId="1679"/>
    <cellStyle name="_ET_STYLE_NoName_00_ 19 6 3" xfId="158"/>
    <cellStyle name="_ET_STYLE_NoName_00_ 19 7" xfId="506"/>
    <cellStyle name="_ET_STYLE_NoName_00_ 19 7 2" xfId="1685"/>
    <cellStyle name="_ET_STYLE_NoName_00_ 19 7 3" xfId="1689"/>
    <cellStyle name="_ET_STYLE_NoName_00_ 2" xfId="1691"/>
    <cellStyle name="_ET_STYLE_NoName_00_ 2 10" xfId="1207"/>
    <cellStyle name="_ET_STYLE_NoName_00_ 2 11" xfId="1694"/>
    <cellStyle name="_ET_STYLE_NoName_00_ 2 12" xfId="1695"/>
    <cellStyle name="_ET_STYLE_NoName_00_ 2 13" xfId="1696"/>
    <cellStyle name="_ET_STYLE_NoName_00_ 2 14" xfId="1698"/>
    <cellStyle name="_ET_STYLE_NoName_00_ 2 15" xfId="1703"/>
    <cellStyle name="_ET_STYLE_NoName_00_ 2 16" xfId="1708"/>
    <cellStyle name="_ET_STYLE_NoName_00_ 2 17" xfId="1711"/>
    <cellStyle name="_ET_STYLE_NoName_00_ 2 18" xfId="1714"/>
    <cellStyle name="_ET_STYLE_NoName_00_ 2 19" xfId="1717"/>
    <cellStyle name="_ET_STYLE_NoName_00_ 2 2" xfId="1441"/>
    <cellStyle name="_ET_STYLE_NoName_00_ 2 2 2" xfId="84"/>
    <cellStyle name="_ET_STYLE_NoName_00_ 2 2 3" xfId="202"/>
    <cellStyle name="_ET_STYLE_NoName_00_ 2 2 4" xfId="208"/>
    <cellStyle name="_ET_STYLE_NoName_00_ 2 2 5" xfId="1719"/>
    <cellStyle name="_ET_STYLE_NoName_00_ 2 2 6" xfId="919"/>
    <cellStyle name="_ET_STYLE_NoName_00_ 2 2 7" xfId="809"/>
    <cellStyle name="_ET_STYLE_NoName_00_ 2 2 8" xfId="922"/>
    <cellStyle name="_ET_STYLE_NoName_00_ 2 2 9" xfId="928"/>
    <cellStyle name="_ET_STYLE_NoName_00_ 2 20" xfId="1702"/>
    <cellStyle name="_ET_STYLE_NoName_00_ 2 21" xfId="1707"/>
    <cellStyle name="_ET_STYLE_NoName_00_ 2 22" xfId="1710"/>
    <cellStyle name="_ET_STYLE_NoName_00_ 2 23" xfId="1713"/>
    <cellStyle name="_ET_STYLE_NoName_00_ 2 24" xfId="1716"/>
    <cellStyle name="_ET_STYLE_NoName_00_ 2 25" xfId="1096"/>
    <cellStyle name="_ET_STYLE_NoName_00_ 2 26" xfId="1103"/>
    <cellStyle name="_ET_STYLE_NoName_00_ 2 27" xfId="42"/>
    <cellStyle name="_ET_STYLE_NoName_00_ 2 28" xfId="1721"/>
    <cellStyle name="_ET_STYLE_NoName_00_ 2 29" xfId="1233"/>
    <cellStyle name="_ET_STYLE_NoName_00_ 2 3" xfId="697"/>
    <cellStyle name="_ET_STYLE_NoName_00_ 2 3 2" xfId="1447"/>
    <cellStyle name="_ET_STYLE_NoName_00_ 2 3 3" xfId="63"/>
    <cellStyle name="_ET_STYLE_NoName_00_ 2 3 4" xfId="1723"/>
    <cellStyle name="_ET_STYLE_NoName_00_ 2 3 5" xfId="239"/>
    <cellStyle name="_ET_STYLE_NoName_00_ 2 3 6" xfId="1725"/>
    <cellStyle name="_ET_STYLE_NoName_00_ 2 3 7" xfId="1728"/>
    <cellStyle name="_ET_STYLE_NoName_00_ 2 3 8" xfId="1730"/>
    <cellStyle name="_ET_STYLE_NoName_00_ 2 3 9" xfId="1732"/>
    <cellStyle name="_ET_STYLE_NoName_00_ 2 30" xfId="1095"/>
    <cellStyle name="_ET_STYLE_NoName_00_ 2 31" xfId="1102"/>
    <cellStyle name="_ET_STYLE_NoName_00_ 2 32" xfId="43"/>
    <cellStyle name="_ET_STYLE_NoName_00_ 2 33" xfId="1720"/>
    <cellStyle name="_ET_STYLE_NoName_00_ 2 34" xfId="1232"/>
    <cellStyle name="_ET_STYLE_NoName_00_ 2 35" xfId="1248"/>
    <cellStyle name="_ET_STYLE_NoName_00_ 2 36" xfId="1283"/>
    <cellStyle name="_ET_STYLE_NoName_00_ 2 37" xfId="530"/>
    <cellStyle name="_ET_STYLE_NoName_00_ 2 37 2" xfId="542"/>
    <cellStyle name="_ET_STYLE_NoName_00_ 2 37 3" xfId="550"/>
    <cellStyle name="_ET_STYLE_NoName_00_ 2 38" xfId="1354"/>
    <cellStyle name="_ET_STYLE_NoName_00_ 2 38 2" xfId="1040"/>
    <cellStyle name="_ET_STYLE_NoName_00_ 2 38 3" xfId="1736"/>
    <cellStyle name="_ET_STYLE_NoName_00_ 2 39" xfId="1737"/>
    <cellStyle name="_ET_STYLE_NoName_00_ 2 39 2" xfId="1738"/>
    <cellStyle name="_ET_STYLE_NoName_00_ 2 39 3" xfId="1742"/>
    <cellStyle name="_ET_STYLE_NoName_00_ 2 4" xfId="395"/>
    <cellStyle name="_ET_STYLE_NoName_00_ 2 4 2" xfId="1452"/>
    <cellStyle name="_ET_STYLE_NoName_00_ 2 4 3" xfId="1458"/>
    <cellStyle name="_ET_STYLE_NoName_00_ 2 4 4" xfId="1746"/>
    <cellStyle name="_ET_STYLE_NoName_00_ 2 4 5" xfId="1747"/>
    <cellStyle name="_ET_STYLE_NoName_00_ 2 4 6" xfId="1748"/>
    <cellStyle name="_ET_STYLE_NoName_00_ 2 4 7" xfId="1750"/>
    <cellStyle name="_ET_STYLE_NoName_00_ 2 4 8" xfId="1753"/>
    <cellStyle name="_ET_STYLE_NoName_00_ 2 4 9" xfId="1755"/>
    <cellStyle name="_ET_STYLE_NoName_00_ 2 5" xfId="1761"/>
    <cellStyle name="_ET_STYLE_NoName_00_ 2 5 2" xfId="1762"/>
    <cellStyle name="_ET_STYLE_NoName_00_ 2 5 3" xfId="1764"/>
    <cellStyle name="_ET_STYLE_NoName_00_ 2 5 4" xfId="1767"/>
    <cellStyle name="_ET_STYLE_NoName_00_ 2 5 5" xfId="1771"/>
    <cellStyle name="_ET_STYLE_NoName_00_ 2 5 6" xfId="1775"/>
    <cellStyle name="_ET_STYLE_NoName_00_ 2 5 7" xfId="1779"/>
    <cellStyle name="_ET_STYLE_NoName_00_ 2 5 8" xfId="1784"/>
    <cellStyle name="_ET_STYLE_NoName_00_ 2 5 9" xfId="1788"/>
    <cellStyle name="_ET_STYLE_NoName_00_ 2 6" xfId="1793"/>
    <cellStyle name="_ET_STYLE_NoName_00_ 2 6 2" xfId="1794"/>
    <cellStyle name="_ET_STYLE_NoName_00_ 2 6 3" xfId="1797"/>
    <cellStyle name="_ET_STYLE_NoName_00_ 2 6 4" xfId="1802"/>
    <cellStyle name="_ET_STYLE_NoName_00_ 2 6 5" xfId="1811"/>
    <cellStyle name="_ET_STYLE_NoName_00_ 2 6 6" xfId="1820"/>
    <cellStyle name="_ET_STYLE_NoName_00_ 2 6 7" xfId="1831"/>
    <cellStyle name="_ET_STYLE_NoName_00_ 2 6 8" xfId="1842"/>
    <cellStyle name="_ET_STYLE_NoName_00_ 2 6 9" xfId="1847"/>
    <cellStyle name="_ET_STYLE_NoName_00_ 2 7" xfId="1850"/>
    <cellStyle name="_ET_STYLE_NoName_00_ 2 7 2" xfId="1852"/>
    <cellStyle name="_ET_STYLE_NoName_00_ 2 7 3" xfId="816"/>
    <cellStyle name="_ET_STYLE_NoName_00_ 2 7 4" xfId="821"/>
    <cellStyle name="_ET_STYLE_NoName_00_ 2 7 5" xfId="88"/>
    <cellStyle name="_ET_STYLE_NoName_00_ 2 7 6" xfId="322"/>
    <cellStyle name="_ET_STYLE_NoName_00_ 2 7 7" xfId="826"/>
    <cellStyle name="_ET_STYLE_NoName_00_ 2 7 8" xfId="833"/>
    <cellStyle name="_ET_STYLE_NoName_00_ 2 7 9" xfId="838"/>
    <cellStyle name="_ET_STYLE_NoName_00_ 2 8" xfId="1853"/>
    <cellStyle name="_ET_STYLE_NoName_00_ 2 9" xfId="1855"/>
    <cellStyle name="_ET_STYLE_NoName_00_ 2_土建清单 (高层)" xfId="1856"/>
    <cellStyle name="_ET_STYLE_NoName_00_ 20" xfId="1358"/>
    <cellStyle name="_ET_STYLE_NoName_00_ 20 2" xfId="1363"/>
    <cellStyle name="_ET_STYLE_NoName_00_ 20 2 2" xfId="1367"/>
    <cellStyle name="_ET_STYLE_NoName_00_ 20 2 3" xfId="1370"/>
    <cellStyle name="_ET_STYLE_NoName_00_ 20 3" xfId="1372"/>
    <cellStyle name="_ET_STYLE_NoName_00_ 20 3 2" xfId="1383"/>
    <cellStyle name="_ET_STYLE_NoName_00_ 20 3 3" xfId="1394"/>
    <cellStyle name="_ET_STYLE_NoName_00_ 20 4" xfId="1404"/>
    <cellStyle name="_ET_STYLE_NoName_00_ 20 4 2" xfId="1006"/>
    <cellStyle name="_ET_STYLE_NoName_00_ 20 4 3" xfId="1013"/>
    <cellStyle name="_ET_STYLE_NoName_00_ 20 5" xfId="1411"/>
    <cellStyle name="_ET_STYLE_NoName_00_ 20 5 2" xfId="1071"/>
    <cellStyle name="_ET_STYLE_NoName_00_ 20 5 3" xfId="1078"/>
    <cellStyle name="_ET_STYLE_NoName_00_ 20 6" xfId="126"/>
    <cellStyle name="_ET_STYLE_NoName_00_ 20 6 2" xfId="1420"/>
    <cellStyle name="_ET_STYLE_NoName_00_ 20 6 3" xfId="172"/>
    <cellStyle name="_ET_STYLE_NoName_00_ 20 7" xfId="383"/>
    <cellStyle name="_ET_STYLE_NoName_00_ 20 7 2" xfId="1422"/>
    <cellStyle name="_ET_STYLE_NoName_00_ 20 7 3" xfId="1424"/>
    <cellStyle name="_ET_STYLE_NoName_00_ 21" xfId="1426"/>
    <cellStyle name="_ET_STYLE_NoName_00_ 21 2" xfId="1431"/>
    <cellStyle name="_ET_STYLE_NoName_00_ 21 2 2" xfId="279"/>
    <cellStyle name="_ET_STYLE_NoName_00_ 21 2 3" xfId="290"/>
    <cellStyle name="_ET_STYLE_NoName_00_ 21 3" xfId="1435"/>
    <cellStyle name="_ET_STYLE_NoName_00_ 21 3 2" xfId="35"/>
    <cellStyle name="_ET_STYLE_NoName_00_ 21 3 3" xfId="412"/>
    <cellStyle name="_ET_STYLE_NoName_00_ 21 4" xfId="133"/>
    <cellStyle name="_ET_STYLE_NoName_00_ 21 4 2" xfId="622"/>
    <cellStyle name="_ET_STYLE_NoName_00_ 21 4 3" xfId="644"/>
    <cellStyle name="_ET_STYLE_NoName_00_ 21 5" xfId="1445"/>
    <cellStyle name="_ET_STYLE_NoName_00_ 21 5 2" xfId="82"/>
    <cellStyle name="_ET_STYLE_NoName_00_ 21 5 3" xfId="200"/>
    <cellStyle name="_ET_STYLE_NoName_00_ 21 6" xfId="701"/>
    <cellStyle name="_ET_STYLE_NoName_00_ 21 6 2" xfId="1449"/>
    <cellStyle name="_ET_STYLE_NoName_00_ 21 6 3" xfId="61"/>
    <cellStyle name="_ET_STYLE_NoName_00_ 21 7" xfId="391"/>
    <cellStyle name="_ET_STYLE_NoName_00_ 21 7 2" xfId="1456"/>
    <cellStyle name="_ET_STYLE_NoName_00_ 21 7 3" xfId="1460"/>
    <cellStyle name="_ET_STYLE_NoName_00_ 22" xfId="1463"/>
    <cellStyle name="_ET_STYLE_NoName_00_ 22 2" xfId="1474"/>
    <cellStyle name="_ET_STYLE_NoName_00_ 22 3" xfId="1489"/>
    <cellStyle name="_ET_STYLE_NoName_00_ 23" xfId="1571"/>
    <cellStyle name="_ET_STYLE_NoName_00_ 23 2" xfId="863"/>
    <cellStyle name="_ET_STYLE_NoName_00_ 23 3" xfId="887"/>
    <cellStyle name="_ET_STYLE_NoName_00_ 24" xfId="673"/>
    <cellStyle name="_ET_STYLE_NoName_00_ 24 2" xfId="1191"/>
    <cellStyle name="_ET_STYLE_NoName_00_ 24 3" xfId="1199"/>
    <cellStyle name="_ET_STYLE_NoName_00_ 25" xfId="1865"/>
    <cellStyle name="_ET_STYLE_NoName_00_ 25 2" xfId="1869"/>
    <cellStyle name="_ET_STYLE_NoName_00_ 25 3" xfId="1871"/>
    <cellStyle name="_ET_STYLE_NoName_00_ 26" xfId="1873"/>
    <cellStyle name="_ET_STYLE_NoName_00_ 26 2" xfId="1877"/>
    <cellStyle name="_ET_STYLE_NoName_00_ 26 3" xfId="1880"/>
    <cellStyle name="_ET_STYLE_NoName_00_ 27" xfId="1883"/>
    <cellStyle name="_ET_STYLE_NoName_00_ 27 2" xfId="1888"/>
    <cellStyle name="_ET_STYLE_NoName_00_ 27 3" xfId="1891"/>
    <cellStyle name="_ET_STYLE_NoName_00_ 28" xfId="1894"/>
    <cellStyle name="_ET_STYLE_NoName_00_ 28 2" xfId="1898"/>
    <cellStyle name="_ET_STYLE_NoName_00_ 28 3" xfId="1902"/>
    <cellStyle name="_ET_STYLE_NoName_00_ 29" xfId="1904"/>
    <cellStyle name="_ET_STYLE_NoName_00_ 29 2" xfId="1908"/>
    <cellStyle name="_ET_STYLE_NoName_00_ 29 3" xfId="1911"/>
    <cellStyle name="_ET_STYLE_NoName_00_ 3" xfId="1915"/>
    <cellStyle name="_ET_STYLE_NoName_00_ 3 10" xfId="1919"/>
    <cellStyle name="_ET_STYLE_NoName_00_ 3 11" xfId="1922"/>
    <cellStyle name="_ET_STYLE_NoName_00_ 3 12" xfId="1682"/>
    <cellStyle name="_ET_STYLE_NoName_00_ 3 13" xfId="155"/>
    <cellStyle name="_ET_STYLE_NoName_00_ 3 14" xfId="1923"/>
    <cellStyle name="_ET_STYLE_NoName_00_ 3 15" xfId="1924"/>
    <cellStyle name="_ET_STYLE_NoName_00_ 3 16" xfId="1926"/>
    <cellStyle name="_ET_STYLE_NoName_00_ 3 17" xfId="1928"/>
    <cellStyle name="_ET_STYLE_NoName_00_ 3 18" xfId="1930"/>
    <cellStyle name="_ET_STYLE_NoName_00_ 3 19" xfId="1932"/>
    <cellStyle name="_ET_STYLE_NoName_00_ 3 2" xfId="1531"/>
    <cellStyle name="_ET_STYLE_NoName_00_ 3 2 2" xfId="1136"/>
    <cellStyle name="_ET_STYLE_NoName_00_ 3 2 3" xfId="1143"/>
    <cellStyle name="_ET_STYLE_NoName_00_ 3 2 4" xfId="1936"/>
    <cellStyle name="_ET_STYLE_NoName_00_ 3 2 5" xfId="1942"/>
    <cellStyle name="_ET_STYLE_NoName_00_ 3 2 6" xfId="1946"/>
    <cellStyle name="_ET_STYLE_NoName_00_ 3 2 7" xfId="1950"/>
    <cellStyle name="_ET_STYLE_NoName_00_ 3 2 8" xfId="1953"/>
    <cellStyle name="_ET_STYLE_NoName_00_ 3 2 9" xfId="1958"/>
    <cellStyle name="_ET_STYLE_NoName_00_ 3 20" xfId="1925"/>
    <cellStyle name="_ET_STYLE_NoName_00_ 3 21" xfId="1927"/>
    <cellStyle name="_ET_STYLE_NoName_00_ 3 22" xfId="1929"/>
    <cellStyle name="_ET_STYLE_NoName_00_ 3 23" xfId="1931"/>
    <cellStyle name="_ET_STYLE_NoName_00_ 3 24" xfId="1933"/>
    <cellStyle name="_ET_STYLE_NoName_00_ 3 25" xfId="1959"/>
    <cellStyle name="_ET_STYLE_NoName_00_ 3 26" xfId="1962"/>
    <cellStyle name="_ET_STYLE_NoName_00_ 3 27" xfId="1964"/>
    <cellStyle name="_ET_STYLE_NoName_00_ 3 28" xfId="1967"/>
    <cellStyle name="_ET_STYLE_NoName_00_ 3 29" xfId="1972"/>
    <cellStyle name="_ET_STYLE_NoName_00_ 3 3" xfId="1543"/>
    <cellStyle name="_ET_STYLE_NoName_00_ 3 3 2" xfId="1159"/>
    <cellStyle name="_ET_STYLE_NoName_00_ 3 3 3" xfId="1170"/>
    <cellStyle name="_ET_STYLE_NoName_00_ 3 3 4" xfId="1978"/>
    <cellStyle name="_ET_STYLE_NoName_00_ 3 3 5" xfId="1984"/>
    <cellStyle name="_ET_STYLE_NoName_00_ 3 3 6" xfId="1988"/>
    <cellStyle name="_ET_STYLE_NoName_00_ 3 3 7" xfId="1992"/>
    <cellStyle name="_ET_STYLE_NoName_00_ 3 3 8" xfId="1995"/>
    <cellStyle name="_ET_STYLE_NoName_00_ 3 3 9" xfId="1998"/>
    <cellStyle name="_ET_STYLE_NoName_00_ 3 30" xfId="1960"/>
    <cellStyle name="_ET_STYLE_NoName_00_ 3 31" xfId="1963"/>
    <cellStyle name="_ET_STYLE_NoName_00_ 3 32" xfId="1965"/>
    <cellStyle name="_ET_STYLE_NoName_00_ 3 33" xfId="1968"/>
    <cellStyle name="_ET_STYLE_NoName_00_ 3 34" xfId="1973"/>
    <cellStyle name="_ET_STYLE_NoName_00_ 3 35" xfId="1860"/>
    <cellStyle name="_ET_STYLE_NoName_00_ 3 36" xfId="2000"/>
    <cellStyle name="_ET_STYLE_NoName_00_ 3 37" xfId="2005"/>
    <cellStyle name="_ET_STYLE_NoName_00_ 3 38" xfId="2010"/>
    <cellStyle name="_ET_STYLE_NoName_00_ 3 39" xfId="2015"/>
    <cellStyle name="_ET_STYLE_NoName_00_ 3 4" xfId="423"/>
    <cellStyle name="_ET_STYLE_NoName_00_ 3 4 2" xfId="1558"/>
    <cellStyle name="_ET_STYLE_NoName_00_ 3 4 3" xfId="1563"/>
    <cellStyle name="_ET_STYLE_NoName_00_ 3 4 4" xfId="2018"/>
    <cellStyle name="_ET_STYLE_NoName_00_ 3 4 5" xfId="2026"/>
    <cellStyle name="_ET_STYLE_NoName_00_ 3 4 6" xfId="2029"/>
    <cellStyle name="_ET_STYLE_NoName_00_ 3 4 7" xfId="2032"/>
    <cellStyle name="_ET_STYLE_NoName_00_ 3 4 8" xfId="2036"/>
    <cellStyle name="_ET_STYLE_NoName_00_ 3 4 9" xfId="2039"/>
    <cellStyle name="_ET_STYLE_NoName_00_ 3 40" xfId="1861"/>
    <cellStyle name="_ET_STYLE_NoName_00_ 3 41" xfId="2001"/>
    <cellStyle name="_ET_STYLE_NoName_00_ 3 42" xfId="2006"/>
    <cellStyle name="_ET_STYLE_NoName_00_ 3 42 2" xfId="2042"/>
    <cellStyle name="_ET_STYLE_NoName_00_ 3 42 3" xfId="2050"/>
    <cellStyle name="_ET_STYLE_NoName_00_ 3 43" xfId="2011"/>
    <cellStyle name="_ET_STYLE_NoName_00_ 3 43 2" xfId="2059"/>
    <cellStyle name="_ET_STYLE_NoName_00_ 3 43 3" xfId="2067"/>
    <cellStyle name="_ET_STYLE_NoName_00_ 3 44" xfId="2016"/>
    <cellStyle name="_ET_STYLE_NoName_00_ 3 44 2" xfId="2071"/>
    <cellStyle name="_ET_STYLE_NoName_00_ 3 44 3" xfId="2074"/>
    <cellStyle name="_ET_STYLE_NoName_00_ 3 5" xfId="439"/>
    <cellStyle name="_ET_STYLE_NoName_00_ 3 5 2" xfId="2081"/>
    <cellStyle name="_ET_STYLE_NoName_00_ 3 5 3" xfId="2083"/>
    <cellStyle name="_ET_STYLE_NoName_00_ 3 5 4" xfId="2088"/>
    <cellStyle name="_ET_STYLE_NoName_00_ 3 5 5" xfId="2096"/>
    <cellStyle name="_ET_STYLE_NoName_00_ 3 5 6" xfId="2101"/>
    <cellStyle name="_ET_STYLE_NoName_00_ 3 5 7" xfId="2106"/>
    <cellStyle name="_ET_STYLE_NoName_00_ 3 5 8" xfId="2111"/>
    <cellStyle name="_ET_STYLE_NoName_00_ 3 5 9" xfId="2116"/>
    <cellStyle name="_ET_STYLE_NoName_00_ 3 6" xfId="100"/>
    <cellStyle name="_ET_STYLE_NoName_00_ 3 6 2" xfId="2118"/>
    <cellStyle name="_ET_STYLE_NoName_00_ 3 6 3" xfId="2120"/>
    <cellStyle name="_ET_STYLE_NoName_00_ 3 6 4" xfId="2124"/>
    <cellStyle name="_ET_STYLE_NoName_00_ 3 6 5" xfId="2131"/>
    <cellStyle name="_ET_STYLE_NoName_00_ 3 6 6" xfId="2137"/>
    <cellStyle name="_ET_STYLE_NoName_00_ 3 6 7" xfId="2143"/>
    <cellStyle name="_ET_STYLE_NoName_00_ 3 6 8" xfId="2149"/>
    <cellStyle name="_ET_STYLE_NoName_00_ 3 6 9" xfId="2155"/>
    <cellStyle name="_ET_STYLE_NoName_00_ 3 7" xfId="2158"/>
    <cellStyle name="_ET_STYLE_NoName_00_ 3 7 2" xfId="2162"/>
    <cellStyle name="_ET_STYLE_NoName_00_ 3 7 3" xfId="2164"/>
    <cellStyle name="_ET_STYLE_NoName_00_ 3 7 4" xfId="2166"/>
    <cellStyle name="_ET_STYLE_NoName_00_ 3 7 5" xfId="2170"/>
    <cellStyle name="_ET_STYLE_NoName_00_ 3 7 6" xfId="2174"/>
    <cellStyle name="_ET_STYLE_NoName_00_ 3 7 7" xfId="2178"/>
    <cellStyle name="_ET_STYLE_NoName_00_ 3 7 8" xfId="2182"/>
    <cellStyle name="_ET_STYLE_NoName_00_ 3 7 9" xfId="2188"/>
    <cellStyle name="_ET_STYLE_NoName_00_ 3 8" xfId="2189"/>
    <cellStyle name="_ET_STYLE_NoName_00_ 3 8 2" xfId="2195"/>
    <cellStyle name="_ET_STYLE_NoName_00_ 3 8 3" xfId="2196"/>
    <cellStyle name="_ET_STYLE_NoName_00_ 3 8 4" xfId="2197"/>
    <cellStyle name="_ET_STYLE_NoName_00_ 3 8 5" xfId="2200"/>
    <cellStyle name="_ET_STYLE_NoName_00_ 3 8 6" xfId="2204"/>
    <cellStyle name="_ET_STYLE_NoName_00_ 3 8 7" xfId="2208"/>
    <cellStyle name="_ET_STYLE_NoName_00_ 3 9" xfId="2209"/>
    <cellStyle name="_ET_STYLE_NoName_00_ 3_土建清单 (高层)" xfId="2212"/>
    <cellStyle name="_ET_STYLE_NoName_00_ 30" xfId="1866"/>
    <cellStyle name="_ET_STYLE_NoName_00_ 30 2" xfId="1870"/>
    <cellStyle name="_ET_STYLE_NoName_00_ 30 3" xfId="1872"/>
    <cellStyle name="_ET_STYLE_NoName_00_ 31" xfId="1874"/>
    <cellStyle name="_ET_STYLE_NoName_00_ 31 2" xfId="1878"/>
    <cellStyle name="_ET_STYLE_NoName_00_ 31 3" xfId="1881"/>
    <cellStyle name="_ET_STYLE_NoName_00_ 32" xfId="1884"/>
    <cellStyle name="_ET_STYLE_NoName_00_ 32 2" xfId="1889"/>
    <cellStyle name="_ET_STYLE_NoName_00_ 32 3" xfId="1892"/>
    <cellStyle name="_ET_STYLE_NoName_00_ 33" xfId="1895"/>
    <cellStyle name="_ET_STYLE_NoName_00_ 33 2" xfId="1899"/>
    <cellStyle name="_ET_STYLE_NoName_00_ 33 3" xfId="1903"/>
    <cellStyle name="_ET_STYLE_NoName_00_ 34" xfId="1905"/>
    <cellStyle name="_ET_STYLE_NoName_00_ 34 2" xfId="1909"/>
    <cellStyle name="_ET_STYLE_NoName_00_ 34 3" xfId="1912"/>
    <cellStyle name="_ET_STYLE_NoName_00_ 35" xfId="2213"/>
    <cellStyle name="_ET_STYLE_NoName_00_ 35 2" xfId="2217"/>
    <cellStyle name="_ET_STYLE_NoName_00_ 35 3" xfId="2219"/>
    <cellStyle name="_ET_STYLE_NoName_00_ 36" xfId="2221"/>
    <cellStyle name="_ET_STYLE_NoName_00_ 36 2" xfId="2224"/>
    <cellStyle name="_ET_STYLE_NoName_00_ 36 3" xfId="2225"/>
    <cellStyle name="_ET_STYLE_NoName_00_ 37" xfId="2229"/>
    <cellStyle name="_ET_STYLE_NoName_00_ 37 2" xfId="2234"/>
    <cellStyle name="_ET_STYLE_NoName_00_ 37 3" xfId="2235"/>
    <cellStyle name="_ET_STYLE_NoName_00_ 38" xfId="2238"/>
    <cellStyle name="_ET_STYLE_NoName_00_ 38 2" xfId="2242"/>
    <cellStyle name="_ET_STYLE_NoName_00_ 38 3" xfId="2243"/>
    <cellStyle name="_ET_STYLE_NoName_00_ 39" xfId="2246"/>
    <cellStyle name="_ET_STYLE_NoName_00_ 39 2" xfId="2249"/>
    <cellStyle name="_ET_STYLE_NoName_00_ 39 3" xfId="2251"/>
    <cellStyle name="_ET_STYLE_NoName_00_ 4" xfId="2252"/>
    <cellStyle name="_ET_STYLE_NoName_00_ 4 10" xfId="2256"/>
    <cellStyle name="_ET_STYLE_NoName_00_ 4 11" xfId="2260"/>
    <cellStyle name="_ET_STYLE_NoName_00_ 4 12" xfId="2262"/>
    <cellStyle name="_ET_STYLE_NoName_00_ 4 13" xfId="2263"/>
    <cellStyle name="_ET_STYLE_NoName_00_ 4 14" xfId="2267"/>
    <cellStyle name="_ET_STYLE_NoName_00_ 4 15" xfId="2271"/>
    <cellStyle name="_ET_STYLE_NoName_00_ 4 16" xfId="2277"/>
    <cellStyle name="_ET_STYLE_NoName_00_ 4 17" xfId="2284"/>
    <cellStyle name="_ET_STYLE_NoName_00_ 4 18" xfId="2290"/>
    <cellStyle name="_ET_STYLE_NoName_00_ 4 19" xfId="2296"/>
    <cellStyle name="_ET_STYLE_NoName_00_ 4 2" xfId="909"/>
    <cellStyle name="_ET_STYLE_NoName_00_ 4 2 2" xfId="1610"/>
    <cellStyle name="_ET_STYLE_NoName_00_ 4 2 3" xfId="1616"/>
    <cellStyle name="_ET_STYLE_NoName_00_ 4 2 4" xfId="2303"/>
    <cellStyle name="_ET_STYLE_NoName_00_ 4 2 5" xfId="2307"/>
    <cellStyle name="_ET_STYLE_NoName_00_ 4 2 6" xfId="2311"/>
    <cellStyle name="_ET_STYLE_NoName_00_ 4 2 7" xfId="25"/>
    <cellStyle name="_ET_STYLE_NoName_00_ 4 2 8" xfId="2313"/>
    <cellStyle name="_ET_STYLE_NoName_00_ 4 2 9" xfId="2317"/>
    <cellStyle name="_ET_STYLE_NoName_00_ 4 20" xfId="2272"/>
    <cellStyle name="_ET_STYLE_NoName_00_ 4 21" xfId="2278"/>
    <cellStyle name="_ET_STYLE_NoName_00_ 4 22" xfId="2285"/>
    <cellStyle name="_ET_STYLE_NoName_00_ 4 23" xfId="2291"/>
    <cellStyle name="_ET_STYLE_NoName_00_ 4 24" xfId="2297"/>
    <cellStyle name="_ET_STYLE_NoName_00_ 4 25" xfId="2319"/>
    <cellStyle name="_ET_STYLE_NoName_00_ 4 26" xfId="2323"/>
    <cellStyle name="_ET_STYLE_NoName_00_ 4 27" xfId="2326"/>
    <cellStyle name="_ET_STYLE_NoName_00_ 4 28" xfId="2329"/>
    <cellStyle name="_ET_STYLE_NoName_00_ 4 29" xfId="2331"/>
    <cellStyle name="_ET_STYLE_NoName_00_ 4 3" xfId="712"/>
    <cellStyle name="_ET_STYLE_NoName_00_ 4 3 2" xfId="1240"/>
    <cellStyle name="_ET_STYLE_NoName_00_ 4 3 3" xfId="1252"/>
    <cellStyle name="_ET_STYLE_NoName_00_ 4 3 4" xfId="2335"/>
    <cellStyle name="_ET_STYLE_NoName_00_ 4 3 5" xfId="2339"/>
    <cellStyle name="_ET_STYLE_NoName_00_ 4 3 6" xfId="2343"/>
    <cellStyle name="_ET_STYLE_NoName_00_ 4 3 7" xfId="2346"/>
    <cellStyle name="_ET_STYLE_NoName_00_ 4 3 8" xfId="2348"/>
    <cellStyle name="_ET_STYLE_NoName_00_ 4 3 9" xfId="2350"/>
    <cellStyle name="_ET_STYLE_NoName_00_ 4 30" xfId="2320"/>
    <cellStyle name="_ET_STYLE_NoName_00_ 4 31" xfId="2324"/>
    <cellStyle name="_ET_STYLE_NoName_00_ 4 32" xfId="2327"/>
    <cellStyle name="_ET_STYLE_NoName_00_ 4 33" xfId="2330"/>
    <cellStyle name="_ET_STYLE_NoName_00_ 4 34" xfId="2332"/>
    <cellStyle name="_ET_STYLE_NoName_00_ 4 35" xfId="2351"/>
    <cellStyle name="_ET_STYLE_NoName_00_ 4 36" xfId="2354"/>
    <cellStyle name="_ET_STYLE_NoName_00_ 4 37" xfId="544"/>
    <cellStyle name="_ET_STYLE_NoName_00_ 4 38" xfId="552"/>
    <cellStyle name="_ET_STYLE_NoName_00_ 4 39" xfId="1309"/>
    <cellStyle name="_ET_STYLE_NoName_00_ 4 4" xfId="467"/>
    <cellStyle name="_ET_STYLE_NoName_00_ 4 4 2" xfId="1626"/>
    <cellStyle name="_ET_STYLE_NoName_00_ 4 4 3" xfId="1631"/>
    <cellStyle name="_ET_STYLE_NoName_00_ 4 4 4" xfId="2359"/>
    <cellStyle name="_ET_STYLE_NoName_00_ 4 4 5" xfId="2363"/>
    <cellStyle name="_ET_STYLE_NoName_00_ 4 4 6" xfId="2368"/>
    <cellStyle name="_ET_STYLE_NoName_00_ 4 4 7" xfId="2371"/>
    <cellStyle name="_ET_STYLE_NoName_00_ 4 4 8" xfId="2374"/>
    <cellStyle name="_ET_STYLE_NoName_00_ 4 4 9" xfId="2377"/>
    <cellStyle name="_ET_STYLE_NoName_00_ 4 40" xfId="2352"/>
    <cellStyle name="_ET_STYLE_NoName_00_ 4 41" xfId="2355"/>
    <cellStyle name="_ET_STYLE_NoName_00_ 4 42" xfId="545"/>
    <cellStyle name="_ET_STYLE_NoName_00_ 4 42 2" xfId="433"/>
    <cellStyle name="_ET_STYLE_NoName_00_ 4 42 3" xfId="95"/>
    <cellStyle name="_ET_STYLE_NoName_00_ 4 43" xfId="553"/>
    <cellStyle name="_ET_STYLE_NoName_00_ 4 43 2" xfId="481"/>
    <cellStyle name="_ET_STYLE_NoName_00_ 4 43 3" xfId="1306"/>
    <cellStyle name="_ET_STYLE_NoName_00_ 4 44" xfId="1310"/>
    <cellStyle name="_ET_STYLE_NoName_00_ 4 44 2" xfId="513"/>
    <cellStyle name="_ET_STYLE_NoName_00_ 4 44 3" xfId="9"/>
    <cellStyle name="_ET_STYLE_NoName_00_ 4 5" xfId="477"/>
    <cellStyle name="_ET_STYLE_NoName_00_ 4 5 2" xfId="2386"/>
    <cellStyle name="_ET_STYLE_NoName_00_ 4 5 3" xfId="2390"/>
    <cellStyle name="_ET_STYLE_NoName_00_ 4 5 4" xfId="2397"/>
    <cellStyle name="_ET_STYLE_NoName_00_ 4 5 5" xfId="2406"/>
    <cellStyle name="_ET_STYLE_NoName_00_ 4 5 6" xfId="2415"/>
    <cellStyle name="_ET_STYLE_NoName_00_ 4 5 7" xfId="2423"/>
    <cellStyle name="_ET_STYLE_NoName_00_ 4 5 8" xfId="2427"/>
    <cellStyle name="_ET_STYLE_NoName_00_ 4 5 9" xfId="2431"/>
    <cellStyle name="_ET_STYLE_NoName_00_ 4 6" xfId="1302"/>
    <cellStyle name="_ET_STYLE_NoName_00_ 4 6 2" xfId="2436"/>
    <cellStyle name="_ET_STYLE_NoName_00_ 4 6 3" xfId="2441"/>
    <cellStyle name="_ET_STYLE_NoName_00_ 4 6 4" xfId="2448"/>
    <cellStyle name="_ET_STYLE_NoName_00_ 4 6 5" xfId="2456"/>
    <cellStyle name="_ET_STYLE_NoName_00_ 4 6 6" xfId="2464"/>
    <cellStyle name="_ET_STYLE_NoName_00_ 4 6 7" xfId="2472"/>
    <cellStyle name="_ET_STYLE_NoName_00_ 4 6 8" xfId="2476"/>
    <cellStyle name="_ET_STYLE_NoName_00_ 4 6 9" xfId="2480"/>
    <cellStyle name="_ET_STYLE_NoName_00_ 4 7" xfId="2485"/>
    <cellStyle name="_ET_STYLE_NoName_00_ 4 7 2" xfId="2491"/>
    <cellStyle name="_ET_STYLE_NoName_00_ 4 7 3" xfId="2496"/>
    <cellStyle name="_ET_STYLE_NoName_00_ 4 7 4" xfId="2501"/>
    <cellStyle name="_ET_STYLE_NoName_00_ 4 7 5" xfId="2508"/>
    <cellStyle name="_ET_STYLE_NoName_00_ 4 7 6" xfId="2515"/>
    <cellStyle name="_ET_STYLE_NoName_00_ 4 7 7" xfId="2518"/>
    <cellStyle name="_ET_STYLE_NoName_00_ 4 7 8" xfId="2520"/>
    <cellStyle name="_ET_STYLE_NoName_00_ 4 7 9" xfId="2528"/>
    <cellStyle name="_ET_STYLE_NoName_00_ 4 8" xfId="2532"/>
    <cellStyle name="_ET_STYLE_NoName_00_ 4 8 2" xfId="2545"/>
    <cellStyle name="_ET_STYLE_NoName_00_ 4 8 3" xfId="2551"/>
    <cellStyle name="_ET_STYLE_NoName_00_ 4 8 4" xfId="2557"/>
    <cellStyle name="_ET_STYLE_NoName_00_ 4 8 5" xfId="2563"/>
    <cellStyle name="_ET_STYLE_NoName_00_ 4 8 6" xfId="2571"/>
    <cellStyle name="_ET_STYLE_NoName_00_ 4 8 7" xfId="2577"/>
    <cellStyle name="_ET_STYLE_NoName_00_ 4 9" xfId="2581"/>
    <cellStyle name="_ET_STYLE_NoName_00_ 4_土建清单 (高层)" xfId="2587"/>
    <cellStyle name="_ET_STYLE_NoName_00_ 40" xfId="2214"/>
    <cellStyle name="_ET_STYLE_NoName_00_ 40 2" xfId="2218"/>
    <cellStyle name="_ET_STYLE_NoName_00_ 40 3" xfId="2220"/>
    <cellStyle name="_ET_STYLE_NoName_00_ 41" xfId="2222"/>
    <cellStyle name="_ET_STYLE_NoName_00_ 42" xfId="2230"/>
    <cellStyle name="_ET_STYLE_NoName_00_ 43" xfId="2239"/>
    <cellStyle name="_ET_STYLE_NoName_00_ 44" xfId="2247"/>
    <cellStyle name="_ET_STYLE_NoName_00_ 45" xfId="2590"/>
    <cellStyle name="_ET_STYLE_NoName_00_ 46" xfId="1116"/>
    <cellStyle name="_ET_STYLE_NoName_00_ 47" xfId="1120"/>
    <cellStyle name="_ET_STYLE_NoName_00_ 48" xfId="2594"/>
    <cellStyle name="_ET_STYLE_NoName_00_ 49" xfId="2597"/>
    <cellStyle name="_ET_STYLE_NoName_00_ 5" xfId="2601"/>
    <cellStyle name="_ET_STYLE_NoName_00_ 5 10" xfId="2160"/>
    <cellStyle name="_ET_STYLE_NoName_00_ 5 11" xfId="2191"/>
    <cellStyle name="_ET_STYLE_NoName_00_ 5 12" xfId="2211"/>
    <cellStyle name="_ET_STYLE_NoName_00_ 5 13" xfId="2607"/>
    <cellStyle name="_ET_STYLE_NoName_00_ 5 14" xfId="2612"/>
    <cellStyle name="_ET_STYLE_NoName_00_ 5 15" xfId="2618"/>
    <cellStyle name="_ET_STYLE_NoName_00_ 5 16" xfId="2626"/>
    <cellStyle name="_ET_STYLE_NoName_00_ 5 17" xfId="2634"/>
    <cellStyle name="_ET_STYLE_NoName_00_ 5 18" xfId="2641"/>
    <cellStyle name="_ET_STYLE_NoName_00_ 5 19" xfId="2649"/>
    <cellStyle name="_ET_STYLE_NoName_00_ 5 2" xfId="1660"/>
    <cellStyle name="_ET_STYLE_NoName_00_ 5 20" xfId="2619"/>
    <cellStyle name="_ET_STYLE_NoName_00_ 5 21" xfId="2627"/>
    <cellStyle name="_ET_STYLE_NoName_00_ 5 22" xfId="2635"/>
    <cellStyle name="_ET_STYLE_NoName_00_ 5 23" xfId="2642"/>
    <cellStyle name="_ET_STYLE_NoName_00_ 5 24" xfId="2650"/>
    <cellStyle name="_ET_STYLE_NoName_00_ 5 25" xfId="2658"/>
    <cellStyle name="_ET_STYLE_NoName_00_ 5 26" xfId="2663"/>
    <cellStyle name="_ET_STYLE_NoName_00_ 5 27" xfId="2666"/>
    <cellStyle name="_ET_STYLE_NoName_00_ 5 28" xfId="2669"/>
    <cellStyle name="_ET_STYLE_NoName_00_ 5 29" xfId="2672"/>
    <cellStyle name="_ET_STYLE_NoName_00_ 5 3" xfId="1674"/>
    <cellStyle name="_ET_STYLE_NoName_00_ 5 30" xfId="2659"/>
    <cellStyle name="_ET_STYLE_NoName_00_ 5 31" xfId="2664"/>
    <cellStyle name="_ET_STYLE_NoName_00_ 5 32" xfId="2667"/>
    <cellStyle name="_ET_STYLE_NoName_00_ 5 33" xfId="2670"/>
    <cellStyle name="_ET_STYLE_NoName_00_ 5 34" xfId="2673"/>
    <cellStyle name="_ET_STYLE_NoName_00_ 5 35" xfId="2675"/>
    <cellStyle name="_ET_STYLE_NoName_00_ 5 36" xfId="2677"/>
    <cellStyle name="_ET_STYLE_NoName_00_ 5 4" xfId="509"/>
    <cellStyle name="_ET_STYLE_NoName_00_ 5 5" xfId="518"/>
    <cellStyle name="_ET_STYLE_NoName_00_ 5 6" xfId="13"/>
    <cellStyle name="_ET_STYLE_NoName_00_ 5 7" xfId="2683"/>
    <cellStyle name="_ET_STYLE_NoName_00_ 5 8" xfId="2689"/>
    <cellStyle name="_ET_STYLE_NoName_00_ 5 9" xfId="2699"/>
    <cellStyle name="_ET_STYLE_NoName_00_ 5_土建清单 (高层)" xfId="1795"/>
    <cellStyle name="_ET_STYLE_NoName_00_ 6" xfId="1262"/>
    <cellStyle name="_ET_STYLE_NoName_00_ 6 2" xfId="2708"/>
    <cellStyle name="_ET_STYLE_NoName_00_ 6 2 2" xfId="2709"/>
    <cellStyle name="_ET_STYLE_NoName_00_ 6 2 3" xfId="2710"/>
    <cellStyle name="_ET_STYLE_NoName_00_ 6 3" xfId="2713"/>
    <cellStyle name="_ET_STYLE_NoName_00_ 6 3 2" xfId="2715"/>
    <cellStyle name="_ET_STYLE_NoName_00_ 6 3 3" xfId="2720"/>
    <cellStyle name="_ET_STYLE_NoName_00_ 6 4" xfId="2726"/>
    <cellStyle name="_ET_STYLE_NoName_00_ 6 4 2" xfId="2728"/>
    <cellStyle name="_ET_STYLE_NoName_00_ 6 4 3" xfId="2729"/>
    <cellStyle name="_ET_STYLE_NoName_00_ 6 5" xfId="1315"/>
    <cellStyle name="_ET_STYLE_NoName_00_ 6 5 2" xfId="2730"/>
    <cellStyle name="_ET_STYLE_NoName_00_ 6 5 3" xfId="2731"/>
    <cellStyle name="_ET_STYLE_NoName_00_ 6 6" xfId="1320"/>
    <cellStyle name="_ET_STYLE_NoName_00_ 6 6 2" xfId="2732"/>
    <cellStyle name="_ET_STYLE_NoName_00_ 6 6 3" xfId="2734"/>
    <cellStyle name="_ET_STYLE_NoName_00_ 6 7" xfId="2739"/>
    <cellStyle name="_ET_STYLE_NoName_00_ 6 7 2" xfId="2742"/>
    <cellStyle name="_ET_STYLE_NoName_00_ 6 7 3" xfId="2744"/>
    <cellStyle name="_ET_STYLE_NoName_00_ 7" xfId="1269"/>
    <cellStyle name="_ET_STYLE_NoName_00_ 7 2" xfId="2748"/>
    <cellStyle name="_ET_STYLE_NoName_00_ 7 3" xfId="2755"/>
    <cellStyle name="_ET_STYLE_NoName_00_ 8" xfId="2758"/>
    <cellStyle name="_ET_STYLE_NoName_00_ 8 2" xfId="2762"/>
    <cellStyle name="_ET_STYLE_NoName_00_ 8 2 2" xfId="2763"/>
    <cellStyle name="_ET_STYLE_NoName_00_ 8 2 3" xfId="2765"/>
    <cellStyle name="_ET_STYLE_NoName_00_ 8 3" xfId="2769"/>
    <cellStyle name="_ET_STYLE_NoName_00_ 8 3 2" xfId="2774"/>
    <cellStyle name="_ET_STYLE_NoName_00_ 8 3 3" xfId="2778"/>
    <cellStyle name="_ET_STYLE_NoName_00_ 8 4" xfId="2784"/>
    <cellStyle name="_ET_STYLE_NoName_00_ 8 4 2" xfId="2788"/>
    <cellStyle name="_ET_STYLE_NoName_00_ 8 4 3" xfId="2789"/>
    <cellStyle name="_ET_STYLE_NoName_00_ 8 5" xfId="1341"/>
    <cellStyle name="_ET_STYLE_NoName_00_ 8 5 2" xfId="2790"/>
    <cellStyle name="_ET_STYLE_NoName_00_ 8 5 3" xfId="2791"/>
    <cellStyle name="_ET_STYLE_NoName_00_ 8 6" xfId="1348"/>
    <cellStyle name="_ET_STYLE_NoName_00_ 8 6 2" xfId="2215"/>
    <cellStyle name="_ET_STYLE_NoName_00_ 8 6 3" xfId="2223"/>
    <cellStyle name="_ET_STYLE_NoName_00_ 8 7" xfId="2794"/>
    <cellStyle name="_ET_STYLE_NoName_00_ 8 7 2" xfId="2799"/>
    <cellStyle name="_ET_STYLE_NoName_00_ 8 7 3" xfId="2800"/>
    <cellStyle name="_ET_STYLE_NoName_00_ 9" xfId="2803"/>
    <cellStyle name="_ET_STYLE_NoName_00_ 9 2" xfId="2809"/>
    <cellStyle name="_ET_STYLE_NoName_00_ 9 3" xfId="2813"/>
    <cellStyle name="_ET_STYLE_NoName_00__Book1" xfId="2817"/>
    <cellStyle name="_ET_STYLE_NoName_00__Book1 10" xfId="2818"/>
    <cellStyle name="_ET_STYLE_NoName_00__Book1 10 2" xfId="188"/>
    <cellStyle name="_ET_STYLE_NoName_00__Book1 10 3" xfId="196"/>
    <cellStyle name="_ET_STYLE_NoName_00__Book1 11" xfId="2819"/>
    <cellStyle name="_ET_STYLE_NoName_00__Book1 12" xfId="2820"/>
    <cellStyle name="_ET_STYLE_NoName_00__Book1 13" xfId="2821"/>
    <cellStyle name="_ET_STYLE_NoName_00__Book1 14" xfId="2822"/>
    <cellStyle name="_ET_STYLE_NoName_00__Book1 14 2" xfId="745"/>
    <cellStyle name="_ET_STYLE_NoName_00__Book1 14 3" xfId="756"/>
    <cellStyle name="_ET_STYLE_NoName_00__Book1 15" xfId="2823"/>
    <cellStyle name="_ET_STYLE_NoName_00__Book1 16" xfId="2825"/>
    <cellStyle name="_ET_STYLE_NoName_00__Book1 17" xfId="2830"/>
    <cellStyle name="_ET_STYLE_NoName_00__Book1 18" xfId="2835"/>
    <cellStyle name="_ET_STYLE_NoName_00__Book1 19" xfId="2836"/>
    <cellStyle name="_ET_STYLE_NoName_00__Book1 2" xfId="2837"/>
    <cellStyle name="_ET_STYLE_NoName_00__Book1 2 10" xfId="2840"/>
    <cellStyle name="_ET_STYLE_NoName_00__Book1 2 10 2" xfId="2843"/>
    <cellStyle name="_ET_STYLE_NoName_00__Book1 2 10 3" xfId="2847"/>
    <cellStyle name="_ET_STYLE_NoName_00__Book1 2 2" xfId="2852"/>
    <cellStyle name="_ET_STYLE_NoName_00__Book1 2 2 2" xfId="2854"/>
    <cellStyle name="_ET_STYLE_NoName_00__Book1 2 2 3" xfId="2856"/>
    <cellStyle name="_ET_STYLE_NoName_00__Book1 2 3" xfId="2860"/>
    <cellStyle name="_ET_STYLE_NoName_00__Book1 2 3 2" xfId="2863"/>
    <cellStyle name="_ET_STYLE_NoName_00__Book1 2 3 3" xfId="2867"/>
    <cellStyle name="_ET_STYLE_NoName_00__Book1 2 4" xfId="2871"/>
    <cellStyle name="_ET_STYLE_NoName_00__Book1 2 4 2" xfId="2874"/>
    <cellStyle name="_ET_STYLE_NoName_00__Book1 2 4 3" xfId="2878"/>
    <cellStyle name="_ET_STYLE_NoName_00__Book1 2 5" xfId="2882"/>
    <cellStyle name="_ET_STYLE_NoName_00__Book1 2 5 2" xfId="2885"/>
    <cellStyle name="_ET_STYLE_NoName_00__Book1 2 5 3" xfId="2890"/>
    <cellStyle name="_ET_STYLE_NoName_00__Book1 2 6" xfId="2895"/>
    <cellStyle name="_ET_STYLE_NoName_00__Book1 2 6 2" xfId="2897"/>
    <cellStyle name="_ET_STYLE_NoName_00__Book1 2 6 3" xfId="2902"/>
    <cellStyle name="_ET_STYLE_NoName_00__Book1 2 7" xfId="2907"/>
    <cellStyle name="_ET_STYLE_NoName_00__Book1 2 7 2" xfId="2908"/>
    <cellStyle name="_ET_STYLE_NoName_00__Book1 2 7 3" xfId="2913"/>
    <cellStyle name="_ET_STYLE_NoName_00__Book1 2 8" xfId="2919"/>
    <cellStyle name="_ET_STYLE_NoName_00__Book1 2 8 2" xfId="2920"/>
    <cellStyle name="_ET_STYLE_NoName_00__Book1 2 8 3" xfId="2922"/>
    <cellStyle name="_ET_STYLE_NoName_00__Book1 2 9" xfId="2925"/>
    <cellStyle name="_ET_STYLE_NoName_00__Book1 2 9 2" xfId="2928"/>
    <cellStyle name="_ET_STYLE_NoName_00__Book1 2 9 3" xfId="2930"/>
    <cellStyle name="_ET_STYLE_NoName_00__Book1 20" xfId="2824"/>
    <cellStyle name="_ET_STYLE_NoName_00__Book1 21" xfId="2826"/>
    <cellStyle name="_ET_STYLE_NoName_00__Book1 22" xfId="2831"/>
    <cellStyle name="_ET_STYLE_NoName_00__Book1 3" xfId="2933"/>
    <cellStyle name="_ET_STYLE_NoName_00__Book1 3 10" xfId="2939"/>
    <cellStyle name="_ET_STYLE_NoName_00__Book1 3 10 2" xfId="2942"/>
    <cellStyle name="_ET_STYLE_NoName_00__Book1 3 10 3" xfId="2949"/>
    <cellStyle name="_ET_STYLE_NoName_00__Book1 3 2" xfId="2951"/>
    <cellStyle name="_ET_STYLE_NoName_00__Book1 3 2 2" xfId="2953"/>
    <cellStyle name="_ET_STYLE_NoName_00__Book1 3 2 3" xfId="2954"/>
    <cellStyle name="_ET_STYLE_NoName_00__Book1 3 3" xfId="2957"/>
    <cellStyle name="_ET_STYLE_NoName_00__Book1 3 3 2" xfId="2960"/>
    <cellStyle name="_ET_STYLE_NoName_00__Book1 3 3 3" xfId="2964"/>
    <cellStyle name="_ET_STYLE_NoName_00__Book1 3 4" xfId="2969"/>
    <cellStyle name="_ET_STYLE_NoName_00__Book1 3 4 2" xfId="2972"/>
    <cellStyle name="_ET_STYLE_NoName_00__Book1 3 4 3" xfId="991"/>
    <cellStyle name="_ET_STYLE_NoName_00__Book1 3 5" xfId="2976"/>
    <cellStyle name="_ET_STYLE_NoName_00__Book1 3 5 2" xfId="2977"/>
    <cellStyle name="_ET_STYLE_NoName_00__Book1 3 5 3" xfId="1061"/>
    <cellStyle name="_ET_STYLE_NoName_00__Book1 3 6" xfId="2980"/>
    <cellStyle name="_ET_STYLE_NoName_00__Book1 3 6 2" xfId="2982"/>
    <cellStyle name="_ET_STYLE_NoName_00__Book1 3 6 3" xfId="2985"/>
    <cellStyle name="_ET_STYLE_NoName_00__Book1 3 7" xfId="2988"/>
    <cellStyle name="_ET_STYLE_NoName_00__Book1 3 7 2" xfId="2990"/>
    <cellStyle name="_ET_STYLE_NoName_00__Book1 3 7 3" xfId="2991"/>
    <cellStyle name="_ET_STYLE_NoName_00__Book1 3 8" xfId="2994"/>
    <cellStyle name="_ET_STYLE_NoName_00__Book1 3 8 2" xfId="765"/>
    <cellStyle name="_ET_STYLE_NoName_00__Book1 3 8 3" xfId="771"/>
    <cellStyle name="_ET_STYLE_NoName_00__Book1 3 9" xfId="2997"/>
    <cellStyle name="_ET_STYLE_NoName_00__Book1 3 9 2" xfId="2998"/>
    <cellStyle name="_ET_STYLE_NoName_00__Book1 3 9 3" xfId="2999"/>
    <cellStyle name="_ET_STYLE_NoName_00__Book1 4" xfId="3000"/>
    <cellStyle name="_ET_STYLE_NoName_00__Book1 4 2" xfId="3001"/>
    <cellStyle name="_ET_STYLE_NoName_00__Book1 4 3" xfId="312"/>
    <cellStyle name="_ET_STYLE_NoName_00__Book1 5" xfId="3003"/>
    <cellStyle name="_ET_STYLE_NoName_00__Book1 6" xfId="3004"/>
    <cellStyle name="_ET_STYLE_NoName_00__Book1 7" xfId="3005"/>
    <cellStyle name="_ET_STYLE_NoName_00__Book1 7 2" xfId="3007"/>
    <cellStyle name="_ET_STYLE_NoName_00__Book1 7 3" xfId="3011"/>
    <cellStyle name="_ET_STYLE_NoName_00__Book1 8" xfId="3014"/>
    <cellStyle name="_ET_STYLE_NoName_00__Book1 9" xfId="3016"/>
    <cellStyle name="_ET_STYLE_NoName_00__Book1 9 2" xfId="3017"/>
    <cellStyle name="_ET_STYLE_NoName_00__Book1 9 3" xfId="3022"/>
    <cellStyle name="_ET_STYLE_NoName_00__Book1_1" xfId="3023"/>
    <cellStyle name="_ET_STYLE_NoName_00__Book1_1 10" xfId="3027"/>
    <cellStyle name="_ET_STYLE_NoName_00__Book1_1 10 2" xfId="3033"/>
    <cellStyle name="_ET_STYLE_NoName_00__Book1_1 10 3" xfId="3039"/>
    <cellStyle name="_ET_STYLE_NoName_00__Book1_1 11" xfId="3043"/>
    <cellStyle name="_ET_STYLE_NoName_00__Book1_1 12" xfId="3050"/>
    <cellStyle name="_ET_STYLE_NoName_00__Book1_1 13" xfId="3055"/>
    <cellStyle name="_ET_STYLE_NoName_00__Book1_1 14" xfId="3059"/>
    <cellStyle name="_ET_STYLE_NoName_00__Book1_1 14 2" xfId="3065"/>
    <cellStyle name="_ET_STYLE_NoName_00__Book1_1 14 3" xfId="3068"/>
    <cellStyle name="_ET_STYLE_NoName_00__Book1_1 15" xfId="3070"/>
    <cellStyle name="_ET_STYLE_NoName_00__Book1_1 16" xfId="3073"/>
    <cellStyle name="_ET_STYLE_NoName_00__Book1_1 17" xfId="3075"/>
    <cellStyle name="_ET_STYLE_NoName_00__Book1_1 18" xfId="3077"/>
    <cellStyle name="_ET_STYLE_NoName_00__Book1_1 19" xfId="3078"/>
    <cellStyle name="_ET_STYLE_NoName_00__Book1_1 2" xfId="3080"/>
    <cellStyle name="_ET_STYLE_NoName_00__Book1_1 2 10" xfId="3085"/>
    <cellStyle name="_ET_STYLE_NoName_00__Book1_1 2 10 2" xfId="3086"/>
    <cellStyle name="_ET_STYLE_NoName_00__Book1_1 2 10 3" xfId="3091"/>
    <cellStyle name="_ET_STYLE_NoName_00__Book1_1 2 2" xfId="3093"/>
    <cellStyle name="_ET_STYLE_NoName_00__Book1_1 2 2 2" xfId="3094"/>
    <cellStyle name="_ET_STYLE_NoName_00__Book1_1 2 2 3" xfId="3096"/>
    <cellStyle name="_ET_STYLE_NoName_00__Book1_1 2 3" xfId="3098"/>
    <cellStyle name="_ET_STYLE_NoName_00__Book1_1 2 3 2" xfId="3099"/>
    <cellStyle name="_ET_STYLE_NoName_00__Book1_1 2 3 3" xfId="3100"/>
    <cellStyle name="_ET_STYLE_NoName_00__Book1_1 2 4" xfId="3104"/>
    <cellStyle name="_ET_STYLE_NoName_00__Book1_1 2 4 2" xfId="3105"/>
    <cellStyle name="_ET_STYLE_NoName_00__Book1_1 2 4 3" xfId="3110"/>
    <cellStyle name="_ET_STYLE_NoName_00__Book1_1 2 5" xfId="3118"/>
    <cellStyle name="_ET_STYLE_NoName_00__Book1_1 2 5 2" xfId="3119"/>
    <cellStyle name="_ET_STYLE_NoName_00__Book1_1 2 5 3" xfId="3127"/>
    <cellStyle name="_ET_STYLE_NoName_00__Book1_1 2 6" xfId="3134"/>
    <cellStyle name="_ET_STYLE_NoName_00__Book1_1 2 6 2" xfId="3135"/>
    <cellStyle name="_ET_STYLE_NoName_00__Book1_1 2 6 3" xfId="3136"/>
    <cellStyle name="_ET_STYLE_NoName_00__Book1_1 2 7" xfId="3140"/>
    <cellStyle name="_ET_STYLE_NoName_00__Book1_1 2 7 2" xfId="3141"/>
    <cellStyle name="_ET_STYLE_NoName_00__Book1_1 2 7 3" xfId="3142"/>
    <cellStyle name="_ET_STYLE_NoName_00__Book1_1 2 8" xfId="3146"/>
    <cellStyle name="_ET_STYLE_NoName_00__Book1_1 2 8 2" xfId="3148"/>
    <cellStyle name="_ET_STYLE_NoName_00__Book1_1 2 8 3" xfId="3150"/>
    <cellStyle name="_ET_STYLE_NoName_00__Book1_1 2 9" xfId="3157"/>
    <cellStyle name="_ET_STYLE_NoName_00__Book1_1 2 9 2" xfId="3164"/>
    <cellStyle name="_ET_STYLE_NoName_00__Book1_1 2 9 3" xfId="3170"/>
    <cellStyle name="_ET_STYLE_NoName_00__Book1_1 20" xfId="3071"/>
    <cellStyle name="_ET_STYLE_NoName_00__Book1_1 21" xfId="3074"/>
    <cellStyle name="_ET_STYLE_NoName_00__Book1_1 22" xfId="3076"/>
    <cellStyle name="_ET_STYLE_NoName_00__Book1_1 3" xfId="3171"/>
    <cellStyle name="_ET_STYLE_NoName_00__Book1_1 3 10" xfId="3175"/>
    <cellStyle name="_ET_STYLE_NoName_00__Book1_1 3 10 2" xfId="3176"/>
    <cellStyle name="_ET_STYLE_NoName_00__Book1_1 3 10 3" xfId="3177"/>
    <cellStyle name="_ET_STYLE_NoName_00__Book1_1 3 2" xfId="3178"/>
    <cellStyle name="_ET_STYLE_NoName_00__Book1_1 3 2 2" xfId="3179"/>
    <cellStyle name="_ET_STYLE_NoName_00__Book1_1 3 2 3" xfId="3180"/>
    <cellStyle name="_ET_STYLE_NoName_00__Book1_1 3 3" xfId="3181"/>
    <cellStyle name="_ET_STYLE_NoName_00__Book1_1 3 3 2" xfId="3182"/>
    <cellStyle name="_ET_STYLE_NoName_00__Book1_1 3 3 3" xfId="3187"/>
    <cellStyle name="_ET_STYLE_NoName_00__Book1_1 3 4" xfId="3192"/>
    <cellStyle name="_ET_STYLE_NoName_00__Book1_1 3 4 2" xfId="3193"/>
    <cellStyle name="_ET_STYLE_NoName_00__Book1_1 3 4 3" xfId="3197"/>
    <cellStyle name="_ET_STYLE_NoName_00__Book1_1 3 5" xfId="3202"/>
    <cellStyle name="_ET_STYLE_NoName_00__Book1_1 3 5 2" xfId="3203"/>
    <cellStyle name="_ET_STYLE_NoName_00__Book1_1 3 5 3" xfId="3204"/>
    <cellStyle name="_ET_STYLE_NoName_00__Book1_1 3 6" xfId="3205"/>
    <cellStyle name="_ET_STYLE_NoName_00__Book1_1 3 6 2" xfId="3206"/>
    <cellStyle name="_ET_STYLE_NoName_00__Book1_1 3 6 3" xfId="3207"/>
    <cellStyle name="_ET_STYLE_NoName_00__Book1_1 3 7" xfId="3208"/>
    <cellStyle name="_ET_STYLE_NoName_00__Book1_1 3 7 2" xfId="3209"/>
    <cellStyle name="_ET_STYLE_NoName_00__Book1_1 3 7 3" xfId="3210"/>
    <cellStyle name="_ET_STYLE_NoName_00__Book1_1 3 8" xfId="3214"/>
    <cellStyle name="_ET_STYLE_NoName_00__Book1_1 3 8 2" xfId="3222"/>
    <cellStyle name="_ET_STYLE_NoName_00__Book1_1 3 8 3" xfId="3226"/>
    <cellStyle name="_ET_STYLE_NoName_00__Book1_1 3 9" xfId="3228"/>
    <cellStyle name="_ET_STYLE_NoName_00__Book1_1 3 9 2" xfId="3239"/>
    <cellStyle name="_ET_STYLE_NoName_00__Book1_1 3 9 3" xfId="3243"/>
    <cellStyle name="_ET_STYLE_NoName_00__Book1_1 4" xfId="3244"/>
    <cellStyle name="_ET_STYLE_NoName_00__Book1_1 4 2" xfId="3245"/>
    <cellStyle name="_ET_STYLE_NoName_00__Book1_1 4 3" xfId="3246"/>
    <cellStyle name="_ET_STYLE_NoName_00__Book1_1 5" xfId="3248"/>
    <cellStyle name="_ET_STYLE_NoName_00__Book1_1 6" xfId="3251"/>
    <cellStyle name="_ET_STYLE_NoName_00__Book1_1 7" xfId="3253"/>
    <cellStyle name="_ET_STYLE_NoName_00__Book1_1 7 2" xfId="3255"/>
    <cellStyle name="_ET_STYLE_NoName_00__Book1_1 7 3" xfId="623"/>
    <cellStyle name="_ET_STYLE_NoName_00__Book1_1 8" xfId="3257"/>
    <cellStyle name="_ET_STYLE_NoName_00__Book1_1 9" xfId="3259"/>
    <cellStyle name="_ET_STYLE_NoName_00__Book1_1 9 2" xfId="3262"/>
    <cellStyle name="_ET_STYLE_NoName_00__Book1_1 9 3" xfId="1451"/>
    <cellStyle name="_ET_STYLE_NoName_00__Book1_1_一期景观安装工程" xfId="2060"/>
    <cellStyle name="_ET_STYLE_NoName_00__Book1_1_一期景观安装工程 10" xfId="3263"/>
    <cellStyle name="_ET_STYLE_NoName_00__Book1_1_一期景观安装工程 10 2" xfId="3266"/>
    <cellStyle name="_ET_STYLE_NoName_00__Book1_1_一期景观安装工程 10 3" xfId="3268"/>
    <cellStyle name="_ET_STYLE_NoName_00__Book1_1_一期景观安装工程 11" xfId="3269"/>
    <cellStyle name="_ET_STYLE_NoName_00__Book1_1_一期景观安装工程 12" xfId="3273"/>
    <cellStyle name="_ET_STYLE_NoName_00__Book1_1_一期景观安装工程 13" xfId="3276"/>
    <cellStyle name="_ET_STYLE_NoName_00__Book1_1_一期景观安装工程 14" xfId="3280"/>
    <cellStyle name="_ET_STYLE_NoName_00__Book1_1_一期景观安装工程 15" xfId="3287"/>
    <cellStyle name="_ET_STYLE_NoName_00__Book1_1_一期景观安装工程 15 2" xfId="3295"/>
    <cellStyle name="_ET_STYLE_NoName_00__Book1_1_一期景观安装工程 15 3" xfId="3302"/>
    <cellStyle name="_ET_STYLE_NoName_00__Book1_1_一期景观安装工程 16" xfId="3307"/>
    <cellStyle name="_ET_STYLE_NoName_00__Book1_1_一期景观安装工程 16 2" xfId="3312"/>
    <cellStyle name="_ET_STYLE_NoName_00__Book1_1_一期景观安装工程 16 3" xfId="3314"/>
    <cellStyle name="_ET_STYLE_NoName_00__Book1_1_一期景观安装工程 17" xfId="3320"/>
    <cellStyle name="_ET_STYLE_NoName_00__Book1_1_一期景观安装工程 18" xfId="3327"/>
    <cellStyle name="_ET_STYLE_NoName_00__Book1_1_一期景观安装工程 19" xfId="3334"/>
    <cellStyle name="_ET_STYLE_NoName_00__Book1_1_一期景观安装工程 2" xfId="3337"/>
    <cellStyle name="_ET_STYLE_NoName_00__Book1_1_一期景观安装工程 2 10" xfId="3338"/>
    <cellStyle name="_ET_STYLE_NoName_00__Book1_1_一期景观安装工程 2 2" xfId="3340"/>
    <cellStyle name="_ET_STYLE_NoName_00__Book1_1_一期景观安装工程 2 3" xfId="3343"/>
    <cellStyle name="_ET_STYLE_NoName_00__Book1_1_一期景观安装工程 2 4" xfId="3346"/>
    <cellStyle name="_ET_STYLE_NoName_00__Book1_1_一期景观安装工程 2 5" xfId="2382"/>
    <cellStyle name="_ET_STYLE_NoName_00__Book1_1_一期景观安装工程 2 6" xfId="2393"/>
    <cellStyle name="_ET_STYLE_NoName_00__Book1_1_一期景观安装工程 2 7" xfId="2400"/>
    <cellStyle name="_ET_STYLE_NoName_00__Book1_1_一期景观安装工程 2 8" xfId="2409"/>
    <cellStyle name="_ET_STYLE_NoName_00__Book1_1_一期景观安装工程 2 9" xfId="2419"/>
    <cellStyle name="_ET_STYLE_NoName_00__Book1_1_一期景观安装工程 20" xfId="3288"/>
    <cellStyle name="_ET_STYLE_NoName_00__Book1_1_一期景观安装工程 21" xfId="3308"/>
    <cellStyle name="_ET_STYLE_NoName_00__Book1_1_一期景观安装工程 21 2" xfId="3313"/>
    <cellStyle name="_ET_STYLE_NoName_00__Book1_1_一期景观安装工程 21 3" xfId="3315"/>
    <cellStyle name="_ET_STYLE_NoName_00__Book1_1_一期景观安装工程 22" xfId="3321"/>
    <cellStyle name="_ET_STYLE_NoName_00__Book1_1_一期景观安装工程 23" xfId="3328"/>
    <cellStyle name="_ET_STYLE_NoName_00__Book1_1_一期景观安装工程 24" xfId="3335"/>
    <cellStyle name="_ET_STYLE_NoName_00__Book1_1_一期景观安装工程 25" xfId="3352"/>
    <cellStyle name="_ET_STYLE_NoName_00__Book1_1_一期景观安装工程 26" xfId="3355"/>
    <cellStyle name="_ET_STYLE_NoName_00__Book1_1_一期景观安装工程 27" xfId="3358"/>
    <cellStyle name="_ET_STYLE_NoName_00__Book1_1_一期景观安装工程 28" xfId="3361"/>
    <cellStyle name="_ET_STYLE_NoName_00__Book1_1_一期景观安装工程 29" xfId="3366"/>
    <cellStyle name="_ET_STYLE_NoName_00__Book1_1_一期景观安装工程 3" xfId="3370"/>
    <cellStyle name="_ET_STYLE_NoName_00__Book1_1_一期景观安装工程 3 10" xfId="3371"/>
    <cellStyle name="_ET_STYLE_NoName_00__Book1_1_一期景观安装工程 3 2" xfId="3373"/>
    <cellStyle name="_ET_STYLE_NoName_00__Book1_1_一期景观安装工程 3 3" xfId="3378"/>
    <cellStyle name="_ET_STYLE_NoName_00__Book1_1_一期景观安装工程 3 4" xfId="3379"/>
    <cellStyle name="_ET_STYLE_NoName_00__Book1_1_一期景观安装工程 3 5" xfId="2432"/>
    <cellStyle name="_ET_STYLE_NoName_00__Book1_1_一期景观安装工程 3 6" xfId="2443"/>
    <cellStyle name="_ET_STYLE_NoName_00__Book1_1_一期景观安装工程 3 7" xfId="2450"/>
    <cellStyle name="_ET_STYLE_NoName_00__Book1_1_一期景观安装工程 3 8" xfId="2458"/>
    <cellStyle name="_ET_STYLE_NoName_00__Book1_1_一期景观安装工程 3 9" xfId="2467"/>
    <cellStyle name="_ET_STYLE_NoName_00__Book1_1_一期景观安装工程 4" xfId="3384"/>
    <cellStyle name="_ET_STYLE_NoName_00__Book1_1_一期景观安装工程 5" xfId="3386"/>
    <cellStyle name="_ET_STYLE_NoName_00__Book1_1_一期景观安装工程 5 2" xfId="3387"/>
    <cellStyle name="_ET_STYLE_NoName_00__Book1_1_一期景观安装工程 5 3" xfId="3388"/>
    <cellStyle name="_ET_STYLE_NoName_00__Book1_1_一期景观安装工程 6" xfId="3392"/>
    <cellStyle name="_ET_STYLE_NoName_00__Book1_1_一期景观安装工程 6 2" xfId="3393"/>
    <cellStyle name="_ET_STYLE_NoName_00__Book1_1_一期景观安装工程 6 3" xfId="3394"/>
    <cellStyle name="_ET_STYLE_NoName_00__Book1_1_一期景观安装工程 7" xfId="3398"/>
    <cellStyle name="_ET_STYLE_NoName_00__Book1_1_一期景观安装工程 7 2" xfId="3399"/>
    <cellStyle name="_ET_STYLE_NoName_00__Book1_1_一期景观安装工程 7 3" xfId="3400"/>
    <cellStyle name="_ET_STYLE_NoName_00__Book1_1_一期景观安装工程 8" xfId="3404"/>
    <cellStyle name="_ET_STYLE_NoName_00__Book1_1_一期景观安装工程 9" xfId="3406"/>
    <cellStyle name="_ET_STYLE_NoName_00__Book1_一期景观安装工程" xfId="3165"/>
    <cellStyle name="_ET_STYLE_NoName_00__Book1_一期景观安装工程 10" xfId="3409"/>
    <cellStyle name="_ET_STYLE_NoName_00__Book1_一期景观安装工程 10 2" xfId="3416"/>
    <cellStyle name="_ET_STYLE_NoName_00__Book1_一期景观安装工程 10 3" xfId="3423"/>
    <cellStyle name="_ET_STYLE_NoName_00__Book1_一期景观安装工程 11" xfId="3427"/>
    <cellStyle name="_ET_STYLE_NoName_00__Book1_一期景观安装工程 12" xfId="3431"/>
    <cellStyle name="_ET_STYLE_NoName_00__Book1_一期景观安装工程 13" xfId="3435"/>
    <cellStyle name="_ET_STYLE_NoName_00__Book1_一期景观安装工程 14" xfId="3439"/>
    <cellStyle name="_ET_STYLE_NoName_00__Book1_一期景观安装工程 15" xfId="3443"/>
    <cellStyle name="_ET_STYLE_NoName_00__Book1_一期景观安装工程 15 2" xfId="3449"/>
    <cellStyle name="_ET_STYLE_NoName_00__Book1_一期景观安装工程 15 3" xfId="3454"/>
    <cellStyle name="_ET_STYLE_NoName_00__Book1_一期景观安装工程 16" xfId="3455"/>
    <cellStyle name="_ET_STYLE_NoName_00__Book1_一期景观安装工程 16 2" xfId="3459"/>
    <cellStyle name="_ET_STYLE_NoName_00__Book1_一期景观安装工程 16 3" xfId="3465"/>
    <cellStyle name="_ET_STYLE_NoName_00__Book1_一期景观安装工程 17" xfId="3468"/>
    <cellStyle name="_ET_STYLE_NoName_00__Book1_一期景观安装工程 18" xfId="3470"/>
    <cellStyle name="_ET_STYLE_NoName_00__Book1_一期景观安装工程 19" xfId="3472"/>
    <cellStyle name="_ET_STYLE_NoName_00__Book1_一期景观安装工程 2" xfId="3476"/>
    <cellStyle name="_ET_STYLE_NoName_00__Book1_一期景观安装工程 2 10" xfId="3482"/>
    <cellStyle name="_ET_STYLE_NoName_00__Book1_一期景观安装工程 2 2" xfId="3483"/>
    <cellStyle name="_ET_STYLE_NoName_00__Book1_一期景观安装工程 2 3" xfId="3490"/>
    <cellStyle name="_ET_STYLE_NoName_00__Book1_一期景观安装工程 2 4" xfId="3497"/>
    <cellStyle name="_ET_STYLE_NoName_00__Book1_一期景观安装工程 2 5" xfId="3503"/>
    <cellStyle name="_ET_STYLE_NoName_00__Book1_一期景观安装工程 2 6" xfId="3512"/>
    <cellStyle name="_ET_STYLE_NoName_00__Book1_一期景观安装工程 2 7" xfId="3518"/>
    <cellStyle name="_ET_STYLE_NoName_00__Book1_一期景观安装工程 2 8" xfId="3521"/>
    <cellStyle name="_ET_STYLE_NoName_00__Book1_一期景观安装工程 2 9" xfId="3526"/>
    <cellStyle name="_ET_STYLE_NoName_00__Book1_一期景观安装工程 20" xfId="3444"/>
    <cellStyle name="_ET_STYLE_NoName_00__Book1_一期景观安装工程 21" xfId="3456"/>
    <cellStyle name="_ET_STYLE_NoName_00__Book1_一期景观安装工程 21 2" xfId="3460"/>
    <cellStyle name="_ET_STYLE_NoName_00__Book1_一期景观安装工程 21 3" xfId="3466"/>
    <cellStyle name="_ET_STYLE_NoName_00__Book1_一期景观安装工程 22" xfId="3469"/>
    <cellStyle name="_ET_STYLE_NoName_00__Book1_一期景观安装工程 23" xfId="3471"/>
    <cellStyle name="_ET_STYLE_NoName_00__Book1_一期景观安装工程 24" xfId="3473"/>
    <cellStyle name="_ET_STYLE_NoName_00__Book1_一期景观安装工程 25" xfId="3530"/>
    <cellStyle name="_ET_STYLE_NoName_00__Book1_一期景观安装工程 26" xfId="3531"/>
    <cellStyle name="_ET_STYLE_NoName_00__Book1_一期景观安装工程 27" xfId="3532"/>
    <cellStyle name="_ET_STYLE_NoName_00__Book1_一期景观安装工程 28" xfId="3535"/>
    <cellStyle name="_ET_STYLE_NoName_00__Book1_一期景观安装工程 29" xfId="1644"/>
    <cellStyle name="_ET_STYLE_NoName_00__Book1_一期景观安装工程 3" xfId="3538"/>
    <cellStyle name="_ET_STYLE_NoName_00__Book1_一期景观安装工程 3 10" xfId="3549"/>
    <cellStyle name="_ET_STYLE_NoName_00__Book1_一期景观安装工程 3 2" xfId="3550"/>
    <cellStyle name="_ET_STYLE_NoName_00__Book1_一期景观安装工程 3 3" xfId="3560"/>
    <cellStyle name="_ET_STYLE_NoName_00__Book1_一期景观安装工程 3 4" xfId="3571"/>
    <cellStyle name="_ET_STYLE_NoName_00__Book1_一期景观安装工程 3 5" xfId="3580"/>
    <cellStyle name="_ET_STYLE_NoName_00__Book1_一期景观安装工程 3 6" xfId="3589"/>
    <cellStyle name="_ET_STYLE_NoName_00__Book1_一期景观安装工程 3 7" xfId="3596"/>
    <cellStyle name="_ET_STYLE_NoName_00__Book1_一期景观安装工程 3 8" xfId="3602"/>
    <cellStyle name="_ET_STYLE_NoName_00__Book1_一期景观安装工程 3 9" xfId="3607"/>
    <cellStyle name="_ET_STYLE_NoName_00__Book1_一期景观安装工程 4" xfId="3608"/>
    <cellStyle name="_ET_STYLE_NoName_00__Book1_一期景观安装工程 5" xfId="3610"/>
    <cellStyle name="_ET_STYLE_NoName_00__Book1_一期景观安装工程 5 2" xfId="3613"/>
    <cellStyle name="_ET_STYLE_NoName_00__Book1_一期景观安装工程 5 3" xfId="3614"/>
    <cellStyle name="_ET_STYLE_NoName_00__Book1_一期景观安装工程 6" xfId="3616"/>
    <cellStyle name="_ET_STYLE_NoName_00__Book1_一期景观安装工程 6 2" xfId="3617"/>
    <cellStyle name="_ET_STYLE_NoName_00__Book1_一期景观安装工程 6 3" xfId="3618"/>
    <cellStyle name="_ET_STYLE_NoName_00__Book1_一期景观安装工程 7" xfId="3620"/>
    <cellStyle name="_ET_STYLE_NoName_00__Book1_一期景观安装工程 7 2" xfId="3622"/>
    <cellStyle name="_ET_STYLE_NoName_00__Book1_一期景观安装工程 7 3" xfId="3623"/>
    <cellStyle name="_ET_STYLE_NoName_00__Book1_一期景观安装工程 8" xfId="3625"/>
    <cellStyle name="_ET_STYLE_NoName_00__Book1_一期景观安装工程 9" xfId="3630"/>
    <cellStyle name="_ET_STYLE_NoName_00__Sheet3" xfId="3634"/>
    <cellStyle name="_ET_STYLE_NoName_00__Sheet3 10" xfId="2814"/>
    <cellStyle name="_ET_STYLE_NoName_00__Sheet3 10 2" xfId="3637"/>
    <cellStyle name="_ET_STYLE_NoName_00__Sheet3 10 3" xfId="3641"/>
    <cellStyle name="_ET_STYLE_NoName_00__Sheet3 11" xfId="3645"/>
    <cellStyle name="_ET_STYLE_NoName_00__Sheet3 12" xfId="3649"/>
    <cellStyle name="_ET_STYLE_NoName_00__Sheet3 13" xfId="3652"/>
    <cellStyle name="_ET_STYLE_NoName_00__Sheet3 14" xfId="3655"/>
    <cellStyle name="_ET_STYLE_NoName_00__Sheet3 14 2" xfId="3289"/>
    <cellStyle name="_ET_STYLE_NoName_00__Sheet3 14 3" xfId="3309"/>
    <cellStyle name="_ET_STYLE_NoName_00__Sheet3 15" xfId="3659"/>
    <cellStyle name="_ET_STYLE_NoName_00__Sheet3 16" xfId="3667"/>
    <cellStyle name="_ET_STYLE_NoName_00__Sheet3 17" xfId="3675"/>
    <cellStyle name="_ET_STYLE_NoName_00__Sheet3 18" xfId="3679"/>
    <cellStyle name="_ET_STYLE_NoName_00__Sheet3 19" xfId="3681"/>
    <cellStyle name="_ET_STYLE_NoName_00__Sheet3 2" xfId="2565"/>
    <cellStyle name="_ET_STYLE_NoName_00__Sheet3 2 10" xfId="3687"/>
    <cellStyle name="_ET_STYLE_NoName_00__Sheet3 2 10 2" xfId="3247"/>
    <cellStyle name="_ET_STYLE_NoName_00__Sheet3 2 10 3" xfId="3250"/>
    <cellStyle name="_ET_STYLE_NoName_00__Sheet3 2 2" xfId="3695"/>
    <cellStyle name="_ET_STYLE_NoName_00__Sheet3 2 2 2" xfId="3704"/>
    <cellStyle name="_ET_STYLE_NoName_00__Sheet3 2 2 3" xfId="3710"/>
    <cellStyle name="_ET_STYLE_NoName_00__Sheet3 2 3" xfId="3718"/>
    <cellStyle name="_ET_STYLE_NoName_00__Sheet3 2 3 2" xfId="3729"/>
    <cellStyle name="_ET_STYLE_NoName_00__Sheet3 2 3 3" xfId="165"/>
    <cellStyle name="_ET_STYLE_NoName_00__Sheet3 2 4" xfId="3734"/>
    <cellStyle name="_ET_STYLE_NoName_00__Sheet3 2 4 2" xfId="3741"/>
    <cellStyle name="_ET_STYLE_NoName_00__Sheet3 2 4 3" xfId="3743"/>
    <cellStyle name="_ET_STYLE_NoName_00__Sheet3 2 5" xfId="3752"/>
    <cellStyle name="_ET_STYLE_NoName_00__Sheet3 2 5 2" xfId="3757"/>
    <cellStyle name="_ET_STYLE_NoName_00__Sheet3 2 5 3" xfId="3760"/>
    <cellStyle name="_ET_STYLE_NoName_00__Sheet3 2 6" xfId="3769"/>
    <cellStyle name="_ET_STYLE_NoName_00__Sheet3 2 6 2" xfId="3773"/>
    <cellStyle name="_ET_STYLE_NoName_00__Sheet3 2 6 3" xfId="3774"/>
    <cellStyle name="_ET_STYLE_NoName_00__Sheet3 2 7" xfId="3777"/>
    <cellStyle name="_ET_STYLE_NoName_00__Sheet3 2 7 2" xfId="3781"/>
    <cellStyle name="_ET_STYLE_NoName_00__Sheet3 2 7 3" xfId="3782"/>
    <cellStyle name="_ET_STYLE_NoName_00__Sheet3 2 8" xfId="3785"/>
    <cellStyle name="_ET_STYLE_NoName_00__Sheet3 2 8 2" xfId="3788"/>
    <cellStyle name="_ET_STYLE_NoName_00__Sheet3 2 8 3" xfId="3794"/>
    <cellStyle name="_ET_STYLE_NoName_00__Sheet3 2 9" xfId="3805"/>
    <cellStyle name="_ET_STYLE_NoName_00__Sheet3 2 9 2" xfId="3808"/>
    <cellStyle name="_ET_STYLE_NoName_00__Sheet3 2 9 3" xfId="3814"/>
    <cellStyle name="_ET_STYLE_NoName_00__Sheet3 20" xfId="3660"/>
    <cellStyle name="_ET_STYLE_NoName_00__Sheet3 21" xfId="3668"/>
    <cellStyle name="_ET_STYLE_NoName_00__Sheet3 22" xfId="3676"/>
    <cellStyle name="_ET_STYLE_NoName_00__Sheet3 3" xfId="2573"/>
    <cellStyle name="_ET_STYLE_NoName_00__Sheet3 3 10" xfId="3822"/>
    <cellStyle name="_ET_STYLE_NoName_00__Sheet3 3 10 2" xfId="3823"/>
    <cellStyle name="_ET_STYLE_NoName_00__Sheet3 3 10 3" xfId="3824"/>
    <cellStyle name="_ET_STYLE_NoName_00__Sheet3 3 2" xfId="3832"/>
    <cellStyle name="_ET_STYLE_NoName_00__Sheet3 3 2 2" xfId="3840"/>
    <cellStyle name="_ET_STYLE_NoName_00__Sheet3 3 2 3" xfId="3845"/>
    <cellStyle name="_ET_STYLE_NoName_00__Sheet3 3 3" xfId="3856"/>
    <cellStyle name="_ET_STYLE_NoName_00__Sheet3 3 3 2" xfId="3863"/>
    <cellStyle name="_ET_STYLE_NoName_00__Sheet3 3 3 3" xfId="3876"/>
    <cellStyle name="_ET_STYLE_NoName_00__Sheet3 3 4" xfId="3895"/>
    <cellStyle name="_ET_STYLE_NoName_00__Sheet3 3 4 2" xfId="3897"/>
    <cellStyle name="_ET_STYLE_NoName_00__Sheet3 3 4 3" xfId="3899"/>
    <cellStyle name="_ET_STYLE_NoName_00__Sheet3 3 5" xfId="3904"/>
    <cellStyle name="_ET_STYLE_NoName_00__Sheet3 3 5 2" xfId="3905"/>
    <cellStyle name="_ET_STYLE_NoName_00__Sheet3 3 5 3" xfId="3906"/>
    <cellStyle name="_ET_STYLE_NoName_00__Sheet3 3 6" xfId="3909"/>
    <cellStyle name="_ET_STYLE_NoName_00__Sheet3 3 6 2" xfId="3911"/>
    <cellStyle name="_ET_STYLE_NoName_00__Sheet3 3 6 3" xfId="3915"/>
    <cellStyle name="_ET_STYLE_NoName_00__Sheet3 3 7" xfId="3920"/>
    <cellStyle name="_ET_STYLE_NoName_00__Sheet3 3 7 2" xfId="3921"/>
    <cellStyle name="_ET_STYLE_NoName_00__Sheet3 3 7 3" xfId="3925"/>
    <cellStyle name="_ET_STYLE_NoName_00__Sheet3 3 8" xfId="3928"/>
    <cellStyle name="_ET_STYLE_NoName_00__Sheet3 3 8 2" xfId="3933"/>
    <cellStyle name="_ET_STYLE_NoName_00__Sheet3 3 8 3" xfId="3940"/>
    <cellStyle name="_ET_STYLE_NoName_00__Sheet3 3 9" xfId="3950"/>
    <cellStyle name="_ET_STYLE_NoName_00__Sheet3 3 9 2" xfId="3955"/>
    <cellStyle name="_ET_STYLE_NoName_00__Sheet3 3 9 3" xfId="3962"/>
    <cellStyle name="_ET_STYLE_NoName_00__Sheet3 4" xfId="2578"/>
    <cellStyle name="_ET_STYLE_NoName_00__Sheet3 4 2" xfId="3970"/>
    <cellStyle name="_ET_STYLE_NoName_00__Sheet3 4 3" xfId="3980"/>
    <cellStyle name="_ET_STYLE_NoName_00__Sheet3 5" xfId="3992"/>
    <cellStyle name="_ET_STYLE_NoName_00__Sheet3 6" xfId="3996"/>
    <cellStyle name="_ET_STYLE_NoName_00__Sheet3 7" xfId="3999"/>
    <cellStyle name="_ET_STYLE_NoName_00__Sheet3 7 2" xfId="4002"/>
    <cellStyle name="_ET_STYLE_NoName_00__Sheet3 7 3" xfId="4007"/>
    <cellStyle name="_ET_STYLE_NoName_00__Sheet3 8" xfId="4012"/>
    <cellStyle name="_ET_STYLE_NoName_00__Sheet3 9" xfId="4015"/>
    <cellStyle name="_ET_STYLE_NoName_00__Sheet3 9 2" xfId="4018"/>
    <cellStyle name="_ET_STYLE_NoName_00__Sheet3 9 3" xfId="4024"/>
    <cellStyle name="_ET_STYLE_NoName_00__Sheet3_一期景观安装工程" xfId="4031"/>
    <cellStyle name="_ET_STYLE_NoName_00__Sheet3_一期景观安装工程 10" xfId="4033"/>
    <cellStyle name="_ET_STYLE_NoName_00__Sheet3_一期景观安装工程 10 2" xfId="4036"/>
    <cellStyle name="_ET_STYLE_NoName_00__Sheet3_一期景观安装工程 10 3" xfId="1324"/>
    <cellStyle name="_ET_STYLE_NoName_00__Sheet3_一期景观安装工程 11" xfId="4044"/>
    <cellStyle name="_ET_STYLE_NoName_00__Sheet3_一期景观安装工程 12" xfId="4046"/>
    <cellStyle name="_ET_STYLE_NoName_00__Sheet3_一期景观安装工程 13" xfId="4048"/>
    <cellStyle name="_ET_STYLE_NoName_00__Sheet3_一期景观安装工程 14" xfId="4051"/>
    <cellStyle name="_ET_STYLE_NoName_00__Sheet3_一期景观安装工程 15" xfId="4056"/>
    <cellStyle name="_ET_STYLE_NoName_00__Sheet3_一期景观安装工程 15 2" xfId="4059"/>
    <cellStyle name="_ET_STYLE_NoName_00__Sheet3_一期景观安装工程 15 3" xfId="4061"/>
    <cellStyle name="_ET_STYLE_NoName_00__Sheet3_一期景观安装工程 16" xfId="4065"/>
    <cellStyle name="_ET_STYLE_NoName_00__Sheet3_一期景观安装工程 16 2" xfId="4068"/>
    <cellStyle name="_ET_STYLE_NoName_00__Sheet3_一期景观安装工程 16 3" xfId="4070"/>
    <cellStyle name="_ET_STYLE_NoName_00__Sheet3_一期景观安装工程 17" xfId="4073"/>
    <cellStyle name="_ET_STYLE_NoName_00__Sheet3_一期景观安装工程 18" xfId="4077"/>
    <cellStyle name="_ET_STYLE_NoName_00__Sheet3_一期景观安装工程 19" xfId="4081"/>
    <cellStyle name="_ET_STYLE_NoName_00__Sheet3_一期景观安装工程 2" xfId="4088"/>
    <cellStyle name="_ET_STYLE_NoName_00__Sheet3_一期景观安装工程 2 10" xfId="4092"/>
    <cellStyle name="_ET_STYLE_NoName_00__Sheet3_一期景观安装工程 2 2" xfId="2534"/>
    <cellStyle name="_ET_STYLE_NoName_00__Sheet3_一期景观安装工程 2 3" xfId="2583"/>
    <cellStyle name="_ET_STYLE_NoName_00__Sheet3_一期景观安装工程 2 4" xfId="4095"/>
    <cellStyle name="_ET_STYLE_NoName_00__Sheet3_一期景观安装工程 2 5" xfId="4098"/>
    <cellStyle name="_ET_STYLE_NoName_00__Sheet3_一期景观安装工程 2 6" xfId="4106"/>
    <cellStyle name="_ET_STYLE_NoName_00__Sheet3_一期景观安装工程 2 7" xfId="4112"/>
    <cellStyle name="_ET_STYLE_NoName_00__Sheet3_一期景观安装工程 2 8" xfId="4115"/>
    <cellStyle name="_ET_STYLE_NoName_00__Sheet3_一期景观安装工程 2 9" xfId="4118"/>
    <cellStyle name="_ET_STYLE_NoName_00__Sheet3_一期景观安装工程 20" xfId="4055"/>
    <cellStyle name="_ET_STYLE_NoName_00__Sheet3_一期景观安装工程 21" xfId="4064"/>
    <cellStyle name="_ET_STYLE_NoName_00__Sheet3_一期景观安装工程 21 2" xfId="4067"/>
    <cellStyle name="_ET_STYLE_NoName_00__Sheet3_一期景观安装工程 21 3" xfId="4069"/>
    <cellStyle name="_ET_STYLE_NoName_00__Sheet3_一期景观安装工程 22" xfId="4072"/>
    <cellStyle name="_ET_STYLE_NoName_00__Sheet3_一期景观安装工程 23" xfId="4076"/>
    <cellStyle name="_ET_STYLE_NoName_00__Sheet3_一期景观安装工程 24" xfId="4080"/>
    <cellStyle name="_ET_STYLE_NoName_00__Sheet3_一期景观安装工程 25" xfId="4122"/>
    <cellStyle name="_ET_STYLE_NoName_00__Sheet3_一期景观安装工程 26" xfId="4127"/>
    <cellStyle name="_ET_STYLE_NoName_00__Sheet3_一期景观安装工程 27" xfId="4130"/>
    <cellStyle name="_ET_STYLE_NoName_00__Sheet3_一期景观安装工程 28" xfId="4133"/>
    <cellStyle name="_ET_STYLE_NoName_00__Sheet3_一期景观安装工程 29" xfId="4136"/>
    <cellStyle name="_ET_STYLE_NoName_00__Sheet3_一期景观安装工程 3" xfId="4141"/>
    <cellStyle name="_ET_STYLE_NoName_00__Sheet3_一期景观安装工程 3 10" xfId="4104"/>
    <cellStyle name="_ET_STYLE_NoName_00__Sheet3_一期景观安装工程 3 2" xfId="2692"/>
    <cellStyle name="_ET_STYLE_NoName_00__Sheet3_一期景观安装工程 3 3" xfId="2702"/>
    <cellStyle name="_ET_STYLE_NoName_00__Sheet3_一期景观安装工程 3 4" xfId="4145"/>
    <cellStyle name="_ET_STYLE_NoName_00__Sheet3_一期景观安装工程 3 5" xfId="4151"/>
    <cellStyle name="_ET_STYLE_NoName_00__Sheet3_一期景观安装工程 3 6" xfId="4160"/>
    <cellStyle name="_ET_STYLE_NoName_00__Sheet3_一期景观安装工程 3 7" xfId="4169"/>
    <cellStyle name="_ET_STYLE_NoName_00__Sheet3_一期景观安装工程 3 8" xfId="4175"/>
    <cellStyle name="_ET_STYLE_NoName_00__Sheet3_一期景观安装工程 3 9" xfId="3299"/>
    <cellStyle name="_ET_STYLE_NoName_00__Sheet3_一期景观安装工程 4" xfId="4181"/>
    <cellStyle name="_ET_STYLE_NoName_00__Sheet3_一期景观安装工程 5" xfId="4186"/>
    <cellStyle name="_ET_STYLE_NoName_00__Sheet3_一期景观安装工程 5 2" xfId="4193"/>
    <cellStyle name="_ET_STYLE_NoName_00__Sheet3_一期景观安装工程 5 3" xfId="4197"/>
    <cellStyle name="_ET_STYLE_NoName_00__Sheet3_一期景观安装工程 6" xfId="4199"/>
    <cellStyle name="_ET_STYLE_NoName_00__Sheet3_一期景观安装工程 6 2" xfId="4205"/>
    <cellStyle name="_ET_STYLE_NoName_00__Sheet3_一期景观安装工程 6 3" xfId="4210"/>
    <cellStyle name="_ET_STYLE_NoName_00__Sheet3_一期景观安装工程 7" xfId="4213"/>
    <cellStyle name="_ET_STYLE_NoName_00__Sheet3_一期景观安装工程 7 2" xfId="3663"/>
    <cellStyle name="_ET_STYLE_NoName_00__Sheet3_一期景观安装工程 7 3" xfId="3671"/>
    <cellStyle name="_ET_STYLE_NoName_00__Sheet3_一期景观安装工程 8" xfId="4215"/>
    <cellStyle name="_ET_STYLE_NoName_00__Sheet3_一期景观安装工程 9" xfId="4216"/>
    <cellStyle name="_ET_STYLE_NoName_00__电气6(1).27" xfId="4220"/>
    <cellStyle name="_ET_STYLE_NoName_00__电气6(1).27 10" xfId="3484"/>
    <cellStyle name="_ET_STYLE_NoName_00__电气6(1).27 10 2" xfId="4222"/>
    <cellStyle name="_ET_STYLE_NoName_00__电气6(1).27 10 3" xfId="4228"/>
    <cellStyle name="_ET_STYLE_NoName_00__电气6(1).27 11" xfId="3491"/>
    <cellStyle name="_ET_STYLE_NoName_00__电气6(1).27 12" xfId="3499"/>
    <cellStyle name="_ET_STYLE_NoName_00__电气6(1).27 13" xfId="3505"/>
    <cellStyle name="_ET_STYLE_NoName_00__电气6(1).27 14" xfId="3510"/>
    <cellStyle name="_ET_STYLE_NoName_00__电气6(1).27 14 2" xfId="4231"/>
    <cellStyle name="_ET_STYLE_NoName_00__电气6(1).27 14 3" xfId="4234"/>
    <cellStyle name="_ET_STYLE_NoName_00__电气6(1).27 15" xfId="3515"/>
    <cellStyle name="_ET_STYLE_NoName_00__电气6(1).27 16" xfId="3523"/>
    <cellStyle name="_ET_STYLE_NoName_00__电气6(1).27 17" xfId="3528"/>
    <cellStyle name="_ET_STYLE_NoName_00__电气6(1).27 18" xfId="4238"/>
    <cellStyle name="_ET_STYLE_NoName_00__电气6(1).27 19" xfId="4241"/>
    <cellStyle name="_ET_STYLE_NoName_00__电气6(1).27 2" xfId="4243"/>
    <cellStyle name="_ET_STYLE_NoName_00__电气6(1).27 2 10" xfId="4246"/>
    <cellStyle name="_ET_STYLE_NoName_00__电气6(1).27 2 10 2" xfId="4248"/>
    <cellStyle name="_ET_STYLE_NoName_00__电气6(1).27 2 10 3" xfId="4249"/>
    <cellStyle name="_ET_STYLE_NoName_00__电气6(1).27 2 2" xfId="4250"/>
    <cellStyle name="_ET_STYLE_NoName_00__电气6(1).27 2 2 2" xfId="4253"/>
    <cellStyle name="_ET_STYLE_NoName_00__电气6(1).27 2 2 3" xfId="4256"/>
    <cellStyle name="_ET_STYLE_NoName_00__电气6(1).27 2 3" xfId="4258"/>
    <cellStyle name="_ET_STYLE_NoName_00__电气6(1).27 2 3 2" xfId="4261"/>
    <cellStyle name="_ET_STYLE_NoName_00__电气6(1).27 2 3 3" xfId="4264"/>
    <cellStyle name="_ET_STYLE_NoName_00__电气6(1).27 2 4" xfId="4267"/>
    <cellStyle name="_ET_STYLE_NoName_00__电气6(1).27 2 4 2" xfId="4273"/>
    <cellStyle name="_ET_STYLE_NoName_00__电气6(1).27 2 4 3" xfId="4277"/>
    <cellStyle name="_ET_STYLE_NoName_00__电气6(1).27 2 5" xfId="4279"/>
    <cellStyle name="_ET_STYLE_NoName_00__电气6(1).27 2 5 2" xfId="4283"/>
    <cellStyle name="_ET_STYLE_NoName_00__电气6(1).27 2 5 3" xfId="4286"/>
    <cellStyle name="_ET_STYLE_NoName_00__电气6(1).27 2 6" xfId="4289"/>
    <cellStyle name="_ET_STYLE_NoName_00__电气6(1).27 2 6 2" xfId="4292"/>
    <cellStyle name="_ET_STYLE_NoName_00__电气6(1).27 2 6 3" xfId="4294"/>
    <cellStyle name="_ET_STYLE_NoName_00__电气6(1).27 2 7" xfId="2884"/>
    <cellStyle name="_ET_STYLE_NoName_00__电气6(1).27 2 7 2" xfId="4297"/>
    <cellStyle name="_ET_STYLE_NoName_00__电气6(1).27 2 7 3" xfId="4299"/>
    <cellStyle name="_ET_STYLE_NoName_00__电气6(1).27 2 8" xfId="2891"/>
    <cellStyle name="_ET_STYLE_NoName_00__电气6(1).27 2 8 2" xfId="4304"/>
    <cellStyle name="_ET_STYLE_NoName_00__电气6(1).27 2 8 3" xfId="4307"/>
    <cellStyle name="_ET_STYLE_NoName_00__电气6(1).27 2 9" xfId="4309"/>
    <cellStyle name="_ET_STYLE_NoName_00__电气6(1).27 2 9 2" xfId="4316"/>
    <cellStyle name="_ET_STYLE_NoName_00__电气6(1).27 2 9 3" xfId="4323"/>
    <cellStyle name="_ET_STYLE_NoName_00__电气6(1).27 20" xfId="3516"/>
    <cellStyle name="_ET_STYLE_NoName_00__电气6(1).27 20 2" xfId="4326"/>
    <cellStyle name="_ET_STYLE_NoName_00__电气6(1).27 20 3" xfId="4327"/>
    <cellStyle name="_ET_STYLE_NoName_00__电气6(1).27 21" xfId="3524"/>
    <cellStyle name="_ET_STYLE_NoName_00__电气6(1).27 22" xfId="3529"/>
    <cellStyle name="_ET_STYLE_NoName_00__电气6(1).27 23" xfId="4237"/>
    <cellStyle name="_ET_STYLE_NoName_00__电气6(1).27 24" xfId="4240"/>
    <cellStyle name="_ET_STYLE_NoName_00__电气6(1).27 3" xfId="4329"/>
    <cellStyle name="_ET_STYLE_NoName_00__电气6(1).27 3 10" xfId="1004"/>
    <cellStyle name="_ET_STYLE_NoName_00__电气6(1).27 3 10 2" xfId="4330"/>
    <cellStyle name="_ET_STYLE_NoName_00__电气6(1).27 3 10 3" xfId="4335"/>
    <cellStyle name="_ET_STYLE_NoName_00__电气6(1).27 3 2" xfId="4337"/>
    <cellStyle name="_ET_STYLE_NoName_00__电气6(1).27 3 2 2" xfId="4338"/>
    <cellStyle name="_ET_STYLE_NoName_00__电气6(1).27 3 2 3" xfId="4341"/>
    <cellStyle name="_ET_STYLE_NoName_00__电气6(1).27 3 3" xfId="4344"/>
    <cellStyle name="_ET_STYLE_NoName_00__电气6(1).27 3 3 2" xfId="4346"/>
    <cellStyle name="_ET_STYLE_NoName_00__电气6(1).27 3 3 3" xfId="4349"/>
    <cellStyle name="_ET_STYLE_NoName_00__电气6(1).27 3 4" xfId="3638"/>
    <cellStyle name="_ET_STYLE_NoName_00__电气6(1).27 3 4 2" xfId="725"/>
    <cellStyle name="_ET_STYLE_NoName_00__电气6(1).27 3 4 3" xfId="4351"/>
    <cellStyle name="_ET_STYLE_NoName_00__电气6(1).27 3 5" xfId="3642"/>
    <cellStyle name="_ET_STYLE_NoName_00__电气6(1).27 3 5 2" xfId="4355"/>
    <cellStyle name="_ET_STYLE_NoName_00__电气6(1).27 3 5 3" xfId="4357"/>
    <cellStyle name="_ET_STYLE_NoName_00__电气6(1).27 3 6" xfId="4360"/>
    <cellStyle name="_ET_STYLE_NoName_00__电气6(1).27 3 6 2" xfId="2231"/>
    <cellStyle name="_ET_STYLE_NoName_00__电气6(1).27 3 6 3" xfId="2240"/>
    <cellStyle name="_ET_STYLE_NoName_00__电气6(1).27 3 7" xfId="2896"/>
    <cellStyle name="_ET_STYLE_NoName_00__电气6(1).27 3 7 2" xfId="4363"/>
    <cellStyle name="_ET_STYLE_NoName_00__电气6(1).27 3 7 3" xfId="4365"/>
    <cellStyle name="_ET_STYLE_NoName_00__电气6(1).27 3 8" xfId="2903"/>
    <cellStyle name="_ET_STYLE_NoName_00__电气6(1).27 3 8 2" xfId="4369"/>
    <cellStyle name="_ET_STYLE_NoName_00__电气6(1).27 3 8 3" xfId="4373"/>
    <cellStyle name="_ET_STYLE_NoName_00__电气6(1).27 3 9" xfId="4376"/>
    <cellStyle name="_ET_STYLE_NoName_00__电气6(1).27 3 9 2" xfId="4381"/>
    <cellStyle name="_ET_STYLE_NoName_00__电气6(1).27 3 9 3" xfId="4391"/>
    <cellStyle name="_ET_STYLE_NoName_00__电气6(1).27 4" xfId="4396"/>
    <cellStyle name="_ET_STYLE_NoName_00__电气6(1).27 4 10" xfId="4399"/>
    <cellStyle name="_ET_STYLE_NoName_00__电气6(1).27 4 10 2" xfId="372"/>
    <cellStyle name="_ET_STYLE_NoName_00__电气6(1).27 4 10 3" xfId="4400"/>
    <cellStyle name="_ET_STYLE_NoName_00__电气6(1).27 4 2" xfId="4401"/>
    <cellStyle name="_ET_STYLE_NoName_00__电气6(1).27 4 2 2" xfId="4288"/>
    <cellStyle name="_ET_STYLE_NoName_00__电气6(1).27 4 2 3" xfId="2886"/>
    <cellStyle name="_ET_STYLE_NoName_00__电气6(1).27 4 3" xfId="4404"/>
    <cellStyle name="_ET_STYLE_NoName_00__电气6(1).27 4 3 2" xfId="4359"/>
    <cellStyle name="_ET_STYLE_NoName_00__电气6(1).27 4 3 3" xfId="2898"/>
    <cellStyle name="_ET_STYLE_NoName_00__电气6(1).27 4 4" xfId="4412"/>
    <cellStyle name="_ET_STYLE_NoName_00__电气6(1).27 4 4 2" xfId="4418"/>
    <cellStyle name="_ET_STYLE_NoName_00__电气6(1).27 4 4 3" xfId="2909"/>
    <cellStyle name="_ET_STYLE_NoName_00__电气6(1).27 4 5" xfId="4423"/>
    <cellStyle name="_ET_STYLE_NoName_00__电气6(1).27 4 5 2" xfId="4426"/>
    <cellStyle name="_ET_STYLE_NoName_00__电气6(1).27 4 5 3" xfId="2921"/>
    <cellStyle name="_ET_STYLE_NoName_00__电气6(1).27 4 6" xfId="4415"/>
    <cellStyle name="_ET_STYLE_NoName_00__电气6(1).27 4 6 2" xfId="4427"/>
    <cellStyle name="_ET_STYLE_NoName_00__电气6(1).27 4 6 3" xfId="2929"/>
    <cellStyle name="_ET_STYLE_NoName_00__电气6(1).27 4 7" xfId="2912"/>
    <cellStyle name="_ET_STYLE_NoName_00__电气6(1).27 4 7 2" xfId="3322"/>
    <cellStyle name="_ET_STYLE_NoName_00__电气6(1).27 4 7 3" xfId="3329"/>
    <cellStyle name="_ET_STYLE_NoName_00__电气6(1).27 4 8" xfId="2916"/>
    <cellStyle name="_ET_STYLE_NoName_00__电气6(1).27 4 8 2" xfId="210"/>
    <cellStyle name="_ET_STYLE_NoName_00__电气6(1).27 4 8 3" xfId="213"/>
    <cellStyle name="_ET_STYLE_NoName_00__电气6(1).27 4 9" xfId="4428"/>
    <cellStyle name="_ET_STYLE_NoName_00__电气6(1).27 4 9 2" xfId="4432"/>
    <cellStyle name="_ET_STYLE_NoName_00__电气6(1).27 4 9 3" xfId="4439"/>
    <cellStyle name="_ET_STYLE_NoName_00__电气6(1).27 5" xfId="4444"/>
    <cellStyle name="_ET_STYLE_NoName_00__电气6(1).27 6" xfId="4448"/>
    <cellStyle name="_ET_STYLE_NoName_00__电气6(1).27 7" xfId="4452"/>
    <cellStyle name="_ET_STYLE_NoName_00__电气6(1).27 7 2" xfId="3277"/>
    <cellStyle name="_ET_STYLE_NoName_00__电气6(1).27 7 3" xfId="3281"/>
    <cellStyle name="_ET_STYLE_NoName_00__电气6(1).27 8" xfId="4459"/>
    <cellStyle name="_ET_STYLE_NoName_00__电气6(1).27 9" xfId="4463"/>
    <cellStyle name="_ET_STYLE_NoName_00__电气6(1).27 9 2" xfId="4467"/>
    <cellStyle name="_ET_STYLE_NoName_00__电气6(1).27 9 3" xfId="4470"/>
    <cellStyle name="_ET_STYLE_NoName_00__给排水清单（改）" xfId="4472"/>
    <cellStyle name="_ET_STYLE_NoName_00__给排水清单（改） 10" xfId="4475"/>
    <cellStyle name="_ET_STYLE_NoName_00__给排水清单（改） 10 2" xfId="4477"/>
    <cellStyle name="_ET_STYLE_NoName_00__给排水清单（改） 10 3" xfId="4479"/>
    <cellStyle name="_ET_STYLE_NoName_00__给排水清单（改） 11" xfId="4480"/>
    <cellStyle name="_ET_STYLE_NoName_00__给排水清单（改） 12" xfId="4481"/>
    <cellStyle name="_ET_STYLE_NoName_00__给排水清单（改） 13" xfId="4482"/>
    <cellStyle name="_ET_STYLE_NoName_00__给排水清单（改） 14" xfId="4483"/>
    <cellStyle name="_ET_STYLE_NoName_00__给排水清单（改） 14 2" xfId="2599"/>
    <cellStyle name="_ET_STYLE_NoName_00__给排水清单（改） 14 3" xfId="4485"/>
    <cellStyle name="_ET_STYLE_NoName_00__给排水清单（改） 15" xfId="4488"/>
    <cellStyle name="_ET_STYLE_NoName_00__给排水清单（改） 16" xfId="4491"/>
    <cellStyle name="_ET_STYLE_NoName_00__给排水清单（改） 17" xfId="4495"/>
    <cellStyle name="_ET_STYLE_NoName_00__给排水清单（改） 18" xfId="564"/>
    <cellStyle name="_ET_STYLE_NoName_00__给排水清单（改） 19" xfId="572"/>
    <cellStyle name="_ET_STYLE_NoName_00__给排水清单（改） 2" xfId="4496"/>
    <cellStyle name="_ET_STYLE_NoName_00__给排水清单（改） 2 10" xfId="4498"/>
    <cellStyle name="_ET_STYLE_NoName_00__给排水清单（改） 2 10 2" xfId="4504"/>
    <cellStyle name="_ET_STYLE_NoName_00__给排水清单（改） 2 10 3" xfId="4505"/>
    <cellStyle name="_ET_STYLE_NoName_00__给排水清单（改） 2 2" xfId="4506"/>
    <cellStyle name="_ET_STYLE_NoName_00__给排水清单（改） 2 2 2" xfId="2201"/>
    <cellStyle name="_ET_STYLE_NoName_00__给排水清单（改） 2 2 3" xfId="2205"/>
    <cellStyle name="_ET_STYLE_NoName_00__给排水清单（改） 2 3" xfId="4511"/>
    <cellStyle name="_ET_STYLE_NoName_00__给排水清单（改） 2 3 2" xfId="4516"/>
    <cellStyle name="_ET_STYLE_NoName_00__给排水清单（改） 2 3 3" xfId="4519"/>
    <cellStyle name="_ET_STYLE_NoName_00__给排水清单（改） 2 4" xfId="4522"/>
    <cellStyle name="_ET_STYLE_NoName_00__给排水清单（改） 2 4 2" xfId="2829"/>
    <cellStyle name="_ET_STYLE_NoName_00__给排水清单（改） 2 4 3" xfId="2834"/>
    <cellStyle name="_ET_STYLE_NoName_00__给排水清单（改） 2 5" xfId="4527"/>
    <cellStyle name="_ET_STYLE_NoName_00__给排水清单（改） 2 5 2" xfId="4533"/>
    <cellStyle name="_ET_STYLE_NoName_00__给排水清单（改） 2 5 3" xfId="4537"/>
    <cellStyle name="_ET_STYLE_NoName_00__给排水清单（改） 2 6" xfId="4542"/>
    <cellStyle name="_ET_STYLE_NoName_00__给排水清单（改） 2 6 2" xfId="4548"/>
    <cellStyle name="_ET_STYLE_NoName_00__给排水清单（改） 2 6 3" xfId="4552"/>
    <cellStyle name="_ET_STYLE_NoName_00__给排水清单（改） 2 7" xfId="4556"/>
    <cellStyle name="_ET_STYLE_NoName_00__给排水清单（改） 2 7 2" xfId="4559"/>
    <cellStyle name="_ET_STYLE_NoName_00__给排水清单（改） 2 7 3" xfId="4563"/>
    <cellStyle name="_ET_STYLE_NoName_00__给排水清单（改） 2 8" xfId="4311"/>
    <cellStyle name="_ET_STYLE_NoName_00__给排水清单（改） 2 8 2" xfId="4566"/>
    <cellStyle name="_ET_STYLE_NoName_00__给排水清单（改） 2 8 3" xfId="4570"/>
    <cellStyle name="_ET_STYLE_NoName_00__给排水清单（改） 2 9" xfId="4320"/>
    <cellStyle name="_ET_STYLE_NoName_00__给排水清单（改） 2 9 2" xfId="4225"/>
    <cellStyle name="_ET_STYLE_NoName_00__给排水清单（改） 2 9 3" xfId="4573"/>
    <cellStyle name="_ET_STYLE_NoName_00__给排水清单（改） 20" xfId="4487"/>
    <cellStyle name="_ET_STYLE_NoName_00__给排水清单（改） 20 2" xfId="4577"/>
    <cellStyle name="_ET_STYLE_NoName_00__给排水清单（改） 20 3" xfId="4581"/>
    <cellStyle name="_ET_STYLE_NoName_00__给排水清单（改） 21" xfId="4490"/>
    <cellStyle name="_ET_STYLE_NoName_00__给排水清单（改） 22" xfId="4494"/>
    <cellStyle name="_ET_STYLE_NoName_00__给排水清单（改） 23" xfId="565"/>
    <cellStyle name="_ET_STYLE_NoName_00__给排水清单（改） 24" xfId="573"/>
    <cellStyle name="_ET_STYLE_NoName_00__给排水清单（改） 3" xfId="4582"/>
    <cellStyle name="_ET_STYLE_NoName_00__给排水清单（改） 3 10" xfId="4584"/>
    <cellStyle name="_ET_STYLE_NoName_00__给排水清单（改） 3 10 2" xfId="285"/>
    <cellStyle name="_ET_STYLE_NoName_00__给排水清单（改） 3 10 3" xfId="298"/>
    <cellStyle name="_ET_STYLE_NoName_00__给排水清单（改） 3 2" xfId="3635"/>
    <cellStyle name="_ET_STYLE_NoName_00__给排水清单（改） 3 2 2" xfId="2566"/>
    <cellStyle name="_ET_STYLE_NoName_00__给排水清单（改） 3 2 3" xfId="2574"/>
    <cellStyle name="_ET_STYLE_NoName_00__给排水清单（改） 3 3" xfId="4586"/>
    <cellStyle name="_ET_STYLE_NoName_00__给排水清单（改） 3 3 2" xfId="4589"/>
    <cellStyle name="_ET_STYLE_NoName_00__给排水清单（改） 3 3 3" xfId="4592"/>
    <cellStyle name="_ET_STYLE_NoName_00__给排水清单（改） 3 4" xfId="4597"/>
    <cellStyle name="_ET_STYLE_NoName_00__给排水清单（改） 3 4 2" xfId="4601"/>
    <cellStyle name="_ET_STYLE_NoName_00__给排水清单（改） 3 4 3" xfId="4605"/>
    <cellStyle name="_ET_STYLE_NoName_00__给排水清单（改） 3 5" xfId="4609"/>
    <cellStyle name="_ET_STYLE_NoName_00__给排水清单（改） 3 5 2" xfId="4613"/>
    <cellStyle name="_ET_STYLE_NoName_00__给排水清单（改） 3 5 3" xfId="4617"/>
    <cellStyle name="_ET_STYLE_NoName_00__给排水清单（改） 3 6" xfId="4620"/>
    <cellStyle name="_ET_STYLE_NoName_00__给排水清单（改） 3 6 2" xfId="4626"/>
    <cellStyle name="_ET_STYLE_NoName_00__给排水清单（改） 3 6 3" xfId="4630"/>
    <cellStyle name="_ET_STYLE_NoName_00__给排水清单（改） 3 7" xfId="4635"/>
    <cellStyle name="_ET_STYLE_NoName_00__给排水清单（改） 3 7 2" xfId="4638"/>
    <cellStyle name="_ET_STYLE_NoName_00__给排水清单（改） 3 7 3" xfId="4641"/>
    <cellStyle name="_ET_STYLE_NoName_00__给排水清单（改） 3 8" xfId="4647"/>
    <cellStyle name="_ET_STYLE_NoName_00__给排水清单（改） 3 8 2" xfId="4654"/>
    <cellStyle name="_ET_STYLE_NoName_00__给排水清单（改） 3 8 3" xfId="4663"/>
    <cellStyle name="_ET_STYLE_NoName_00__给排水清单（改） 3 9" xfId="4668"/>
    <cellStyle name="_ET_STYLE_NoName_00__给排水清单（改） 3 9 2" xfId="4670"/>
    <cellStyle name="_ET_STYLE_NoName_00__给排水清单（改） 3 9 3" xfId="4675"/>
    <cellStyle name="_ET_STYLE_NoName_00__给排水清单（改） 4" xfId="4682"/>
    <cellStyle name="_ET_STYLE_NoName_00__给排水清单（改） 4 10" xfId="4684"/>
    <cellStyle name="_ET_STYLE_NoName_00__给排水清单（改） 4 10 2" xfId="4685"/>
    <cellStyle name="_ET_STYLE_NoName_00__给排水清单（改） 4 10 3" xfId="4687"/>
    <cellStyle name="_ET_STYLE_NoName_00__给排水清单（改） 4 2" xfId="4691"/>
    <cellStyle name="_ET_STYLE_NoName_00__给排水清单（改） 4 2 2" xfId="2275"/>
    <cellStyle name="_ET_STYLE_NoName_00__给排水清单（改） 4 2 3" xfId="2281"/>
    <cellStyle name="_ET_STYLE_NoName_00__给排水清单（改） 4 3" xfId="4697"/>
    <cellStyle name="_ET_STYLE_NoName_00__给排水清单（改） 4 3 2" xfId="4089"/>
    <cellStyle name="_ET_STYLE_NoName_00__给排水清单（改） 4 3 3" xfId="4700"/>
    <cellStyle name="_ET_STYLE_NoName_00__给排水清单（改） 4 4" xfId="4704"/>
    <cellStyle name="_ET_STYLE_NoName_00__给排水清单（改） 4 4 2" xfId="4707"/>
    <cellStyle name="_ET_STYLE_NoName_00__给排水清单（改） 4 4 3" xfId="4710"/>
    <cellStyle name="_ET_STYLE_NoName_00__给排水清单（改） 4 5" xfId="4714"/>
    <cellStyle name="_ET_STYLE_NoName_00__给排水清单（改） 4 5 2" xfId="4717"/>
    <cellStyle name="_ET_STYLE_NoName_00__给排水清单（改） 4 5 3" xfId="4720"/>
    <cellStyle name="_ET_STYLE_NoName_00__给排水清单（改） 4 6" xfId="4724"/>
    <cellStyle name="_ET_STYLE_NoName_00__给排水清单（改） 4 6 2" xfId="3827"/>
    <cellStyle name="_ET_STYLE_NoName_00__给排水清单（改） 4 6 3" xfId="4727"/>
    <cellStyle name="_ET_STYLE_NoName_00__给排水清单（改） 4 7" xfId="4731"/>
    <cellStyle name="_ET_STYLE_NoName_00__给排水清单（改） 4 7 2" xfId="2624"/>
    <cellStyle name="_ET_STYLE_NoName_00__给排水清单（改） 4 7 3" xfId="2632"/>
    <cellStyle name="_ET_STYLE_NoName_00__给排水清单（改） 4 8" xfId="4735"/>
    <cellStyle name="_ET_STYLE_NoName_00__给排水清单（改） 4 8 2" xfId="4101"/>
    <cellStyle name="_ET_STYLE_NoName_00__给排水清单（改） 4 8 3" xfId="4109"/>
    <cellStyle name="_ET_STYLE_NoName_00__给排水清单（改） 4 9" xfId="4738"/>
    <cellStyle name="_ET_STYLE_NoName_00__给排水清单（改） 4 9 2" xfId="4156"/>
    <cellStyle name="_ET_STYLE_NoName_00__给排水清单（改） 4 9 3" xfId="4165"/>
    <cellStyle name="_ET_STYLE_NoName_00__给排水清单（改） 5" xfId="4744"/>
    <cellStyle name="_ET_STYLE_NoName_00__给排水清单（改） 6" xfId="1364"/>
    <cellStyle name="_ET_STYLE_NoName_00__给排水清单（改） 7" xfId="1377"/>
    <cellStyle name="_ET_STYLE_NoName_00__给排水清单（改） 7 2" xfId="1387"/>
    <cellStyle name="_ET_STYLE_NoName_00__给排水清单（改） 7 3" xfId="1398"/>
    <cellStyle name="_ET_STYLE_NoName_00__给排水清单（改） 8" xfId="1409"/>
    <cellStyle name="_ET_STYLE_NoName_00__给排水清单（改） 9" xfId="1417"/>
    <cellStyle name="_ET_STYLE_NoName_00__给排水清单（改） 9 2" xfId="1075"/>
    <cellStyle name="_ET_STYLE_NoName_00__给排水清单（改） 9 3" xfId="1081"/>
    <cellStyle name="_ET_STYLE_NoName_00__给排水清单（改）_一期景观安装工程" xfId="4748"/>
    <cellStyle name="_ET_STYLE_NoName_00__给排水清单（改）_一期景观安装工程 10" xfId="4749"/>
    <cellStyle name="_ET_STYLE_NoName_00__给排水清单（改）_一期景观安装工程 10 2" xfId="4753"/>
    <cellStyle name="_ET_STYLE_NoName_00__给排水清单（改）_一期景观安装工程 10 3" xfId="4758"/>
    <cellStyle name="_ET_STYLE_NoName_00__给排水清单（改）_一期景观安装工程 11" xfId="4759"/>
    <cellStyle name="_ET_STYLE_NoName_00__给排水清单（改）_一期景观安装工程 12" xfId="2733"/>
    <cellStyle name="_ET_STYLE_NoName_00__给排水清单（改）_一期景观安装工程 13" xfId="2735"/>
    <cellStyle name="_ET_STYLE_NoName_00__给排水清单（改）_一期景观安装工程 14" xfId="4761"/>
    <cellStyle name="_ET_STYLE_NoName_00__给排水清单（改）_一期景观安装工程 15" xfId="4766"/>
    <cellStyle name="_ET_STYLE_NoName_00__给排水清单（改）_一期景观安装工程 15 2" xfId="4771"/>
    <cellStyle name="_ET_STYLE_NoName_00__给排水清单（改）_一期景观安装工程 15 3" xfId="4775"/>
    <cellStyle name="_ET_STYLE_NoName_00__给排水清单（改）_一期景观安装工程 16" xfId="4780"/>
    <cellStyle name="_ET_STYLE_NoName_00__给排水清单（改）_一期景观安装工程 16 2" xfId="4785"/>
    <cellStyle name="_ET_STYLE_NoName_00__给排水清单（改）_一期景观安装工程 16 3" xfId="4788"/>
    <cellStyle name="_ET_STYLE_NoName_00__给排水清单（改）_一期景观安装工程 17" xfId="3696"/>
    <cellStyle name="_ET_STYLE_NoName_00__给排水清单（改）_一期景观安装工程 18" xfId="3719"/>
    <cellStyle name="_ET_STYLE_NoName_00__给排水清单（改）_一期景观安装工程 19" xfId="3735"/>
    <cellStyle name="_ET_STYLE_NoName_00__给排水清单（改）_一期景观安装工程 2" xfId="4795"/>
    <cellStyle name="_ET_STYLE_NoName_00__给排水清单（改）_一期景观安装工程 2 10" xfId="4800"/>
    <cellStyle name="_ET_STYLE_NoName_00__给排水清单（改）_一期景观安装工程 2 2" xfId="1726"/>
    <cellStyle name="_ET_STYLE_NoName_00__给排水清单（改）_一期景观安装工程 2 3" xfId="1729"/>
    <cellStyle name="_ET_STYLE_NoName_00__给排水清单（改）_一期景观安装工程 2 4" xfId="1731"/>
    <cellStyle name="_ET_STYLE_NoName_00__给排水清单（改）_一期景观安装工程 2 5" xfId="1733"/>
    <cellStyle name="_ET_STYLE_NoName_00__给排水清单（改）_一期景观安装工程 2 6" xfId="4802"/>
    <cellStyle name="_ET_STYLE_NoName_00__给排水清单（改）_一期景观安装工程 2 7" xfId="4803"/>
    <cellStyle name="_ET_STYLE_NoName_00__给排水清单（改）_一期景观安装工程 2 8" xfId="4804"/>
    <cellStyle name="_ET_STYLE_NoName_00__给排水清单（改）_一期景观安装工程 2 9" xfId="4810"/>
    <cellStyle name="_ET_STYLE_NoName_00__给排水清单（改）_一期景观安装工程 20" xfId="4765"/>
    <cellStyle name="_ET_STYLE_NoName_00__给排水清单（改）_一期景观安装工程 21" xfId="4779"/>
    <cellStyle name="_ET_STYLE_NoName_00__给排水清单（改）_一期景观安装工程 21 2" xfId="4784"/>
    <cellStyle name="_ET_STYLE_NoName_00__给排水清单（改）_一期景观安装工程 21 3" xfId="4787"/>
    <cellStyle name="_ET_STYLE_NoName_00__给排水清单（改）_一期景观安装工程 22" xfId="3697"/>
    <cellStyle name="_ET_STYLE_NoName_00__给排水清单（改）_一期景观安装工程 23" xfId="3720"/>
    <cellStyle name="_ET_STYLE_NoName_00__给排水清单（改）_一期景观安装工程 24" xfId="3736"/>
    <cellStyle name="_ET_STYLE_NoName_00__给排水清单（改）_一期景观安装工程 25" xfId="3753"/>
    <cellStyle name="_ET_STYLE_NoName_00__给排水清单（改）_一期景观安装工程 26" xfId="3770"/>
    <cellStyle name="_ET_STYLE_NoName_00__给排水清单（改）_一期景观安装工程 27" xfId="3778"/>
    <cellStyle name="_ET_STYLE_NoName_00__给排水清单（改）_一期景观安装工程 28" xfId="3786"/>
    <cellStyle name="_ET_STYLE_NoName_00__给排水清单（改）_一期景观安装工程 29" xfId="3806"/>
    <cellStyle name="_ET_STYLE_NoName_00__给排水清单（改）_一期景观安装工程 3" xfId="4816"/>
    <cellStyle name="_ET_STYLE_NoName_00__给排水清单（改）_一期景观安装工程 3 10" xfId="4818"/>
    <cellStyle name="_ET_STYLE_NoName_00__给排水清单（改）_一期景观安装工程 3 2" xfId="1749"/>
    <cellStyle name="_ET_STYLE_NoName_00__给排水清单（改）_一期景观安装工程 3 3" xfId="1751"/>
    <cellStyle name="_ET_STYLE_NoName_00__给排水清单（改）_一期景观安装工程 3 4" xfId="1754"/>
    <cellStyle name="_ET_STYLE_NoName_00__给排水清单（改）_一期景观安装工程 3 5" xfId="1756"/>
    <cellStyle name="_ET_STYLE_NoName_00__给排水清单（改）_一期景观安装工程 3 6" xfId="4821"/>
    <cellStyle name="_ET_STYLE_NoName_00__给排水清单（改）_一期景观安装工程 3 7" xfId="4822"/>
    <cellStyle name="_ET_STYLE_NoName_00__给排水清单（改）_一期景观安装工程 3 8" xfId="4823"/>
    <cellStyle name="_ET_STYLE_NoName_00__给排水清单（改）_一期景观安装工程 3 9" xfId="4830"/>
    <cellStyle name="_ET_STYLE_NoName_00__给排水清单（改）_一期景观安装工程 4" xfId="4832"/>
    <cellStyle name="_ET_STYLE_NoName_00__给排水清单（改）_一期景观安装工程 5" xfId="4837"/>
    <cellStyle name="_ET_STYLE_NoName_00__给排水清单（改）_一期景观安装工程 5 2" xfId="1823"/>
    <cellStyle name="_ET_STYLE_NoName_00__给排水清单（改）_一期景观安装工程 5 3" xfId="1834"/>
    <cellStyle name="_ET_STYLE_NoName_00__给排水清单（改）_一期景观安装工程 6" xfId="4842"/>
    <cellStyle name="_ET_STYLE_NoName_00__给排水清单（改）_一期景观安装工程 6 2" xfId="319"/>
    <cellStyle name="_ET_STYLE_NoName_00__给排水清单（改）_一期景观安装工程 6 3" xfId="830"/>
    <cellStyle name="_ET_STYLE_NoName_00__给排水清单（改）_一期景观安装工程 7" xfId="4843"/>
    <cellStyle name="_ET_STYLE_NoName_00__给排水清单（改）_一期景观安装工程 7 2" xfId="878"/>
    <cellStyle name="_ET_STYLE_NoName_00__给排水清单（改）_一期景观安装工程 7 3" xfId="882"/>
    <cellStyle name="_ET_STYLE_NoName_00__给排水清单（改）_一期景观安装工程 8" xfId="4844"/>
    <cellStyle name="_ET_STYLE_NoName_00__给排水清单（改）_一期景观安装工程 9" xfId="1900"/>
    <cellStyle name="_ET_STYLE_NoName_00__土建清单 (高层)" xfId="4847"/>
    <cellStyle name="_ET_STYLE_NoName_00__一期景观安装工程" xfId="932"/>
    <cellStyle name="_ET_STYLE_NoName_00__一期景观安装工程 10" xfId="4851"/>
    <cellStyle name="_ET_STYLE_NoName_00__一期景观安装工程 10 2" xfId="4257"/>
    <cellStyle name="_ET_STYLE_NoName_00__一期景观安装工程 10 3" xfId="4266"/>
    <cellStyle name="_ET_STYLE_NoName_00__一期景观安装工程 11" xfId="4303"/>
    <cellStyle name="_ET_STYLE_NoName_00__一期景观安装工程 12" xfId="4306"/>
    <cellStyle name="_ET_STYLE_NoName_00__一期景观安装工程 13" xfId="4852"/>
    <cellStyle name="_ET_STYLE_NoName_00__一期景观安装工程 14" xfId="4853"/>
    <cellStyle name="_ET_STYLE_NoName_00__一期景观安装工程 15" xfId="4855"/>
    <cellStyle name="_ET_STYLE_NoName_00__一期景观安装工程 15 2" xfId="3284"/>
    <cellStyle name="_ET_STYLE_NoName_00__一期景观安装工程 15 3" xfId="3292"/>
    <cellStyle name="_ET_STYLE_NoName_00__一期景观安装工程 16" xfId="4857"/>
    <cellStyle name="_ET_STYLE_NoName_00__一期景观安装工程 16 2" xfId="4859"/>
    <cellStyle name="_ET_STYLE_NoName_00__一期景观安装工程 16 3" xfId="4861"/>
    <cellStyle name="_ET_STYLE_NoName_00__一期景观安装工程 17" xfId="4863"/>
    <cellStyle name="_ET_STYLE_NoName_00__一期景观安装工程 18" xfId="4865"/>
    <cellStyle name="_ET_STYLE_NoName_00__一期景观安装工程 19" xfId="4867"/>
    <cellStyle name="_ET_STYLE_NoName_00__一期景观安装工程 2" xfId="4868"/>
    <cellStyle name="_ET_STYLE_NoName_00__一期景观安装工程 2 10" xfId="4873"/>
    <cellStyle name="_ET_STYLE_NoName_00__一期景观安装工程 2 2" xfId="4874"/>
    <cellStyle name="_ET_STYLE_NoName_00__一期景观安装工程 2 3" xfId="4875"/>
    <cellStyle name="_ET_STYLE_NoName_00__一期景观安装工程 2 4" xfId="1388"/>
    <cellStyle name="_ET_STYLE_NoName_00__一期景观安装工程 2 5" xfId="1399"/>
    <cellStyle name="_ET_STYLE_NoName_00__一期景观安装工程 2 6" xfId="4879"/>
    <cellStyle name="_ET_STYLE_NoName_00__一期景观安装工程 2 7" xfId="4881"/>
    <cellStyle name="_ET_STYLE_NoName_00__一期景观安装工程 2 8" xfId="4883"/>
    <cellStyle name="_ET_STYLE_NoName_00__一期景观安装工程 2 9" xfId="59"/>
    <cellStyle name="_ET_STYLE_NoName_00__一期景观安装工程 20" xfId="4854"/>
    <cellStyle name="_ET_STYLE_NoName_00__一期景观安装工程 21" xfId="4856"/>
    <cellStyle name="_ET_STYLE_NoName_00__一期景观安装工程 21 2" xfId="4858"/>
    <cellStyle name="_ET_STYLE_NoName_00__一期景观安装工程 21 3" xfId="4860"/>
    <cellStyle name="_ET_STYLE_NoName_00__一期景观安装工程 22" xfId="4862"/>
    <cellStyle name="_ET_STYLE_NoName_00__一期景观安装工程 23" xfId="4864"/>
    <cellStyle name="_ET_STYLE_NoName_00__一期景观安装工程 24" xfId="4866"/>
    <cellStyle name="_ET_STYLE_NoName_00__一期景观安装工程 25" xfId="4888"/>
    <cellStyle name="_ET_STYLE_NoName_00__一期景观安装工程 26" xfId="4893"/>
    <cellStyle name="_ET_STYLE_NoName_00__一期景观安装工程 27" xfId="4894"/>
    <cellStyle name="_ET_STYLE_NoName_00__一期景观安装工程 28" xfId="4895"/>
    <cellStyle name="_ET_STYLE_NoName_00__一期景观安装工程 29" xfId="4896"/>
    <cellStyle name="_ET_STYLE_NoName_00__一期景观安装工程 3" xfId="3759"/>
    <cellStyle name="_ET_STYLE_NoName_00__一期景观安装工程 3 10" xfId="4904"/>
    <cellStyle name="_ET_STYLE_NoName_00__一期景观安装工程 3 2" xfId="2927"/>
    <cellStyle name="_ET_STYLE_NoName_00__一期景观安装工程 3 3" xfId="4905"/>
    <cellStyle name="_ET_STYLE_NoName_00__一期景观安装工程 3 4" xfId="1008"/>
    <cellStyle name="_ET_STYLE_NoName_00__一期景观安装工程 3 5" xfId="1015"/>
    <cellStyle name="_ET_STYLE_NoName_00__一期景观安装工程 3 6" xfId="4907"/>
    <cellStyle name="_ET_STYLE_NoName_00__一期景观安装工程 3 7" xfId="4909"/>
    <cellStyle name="_ET_STYLE_NoName_00__一期景观安装工程 3 8" xfId="4911"/>
    <cellStyle name="_ET_STYLE_NoName_00__一期景观安装工程 3 9" xfId="4913"/>
    <cellStyle name="_ET_STYLE_NoName_00__一期景观安装工程 4" xfId="3762"/>
    <cellStyle name="_ET_STYLE_NoName_00__一期景观安装工程 5" xfId="4920"/>
    <cellStyle name="_ET_STYLE_NoName_00__一期景观安装工程 5 2" xfId="246"/>
    <cellStyle name="_ET_STYLE_NoName_00__一期景观安装工程 5 3" xfId="707"/>
    <cellStyle name="_ET_STYLE_NoName_00__一期景观安装工程 6" xfId="4923"/>
    <cellStyle name="_ET_STYLE_NoName_00__一期景观安装工程 6 2" xfId="4926"/>
    <cellStyle name="_ET_STYLE_NoName_00__一期景观安装工程 6 3" xfId="4931"/>
    <cellStyle name="_ET_STYLE_NoName_00__一期景观安装工程 7" xfId="4935"/>
    <cellStyle name="_ET_STYLE_NoName_00__一期景观安装工程 7 2" xfId="4938"/>
    <cellStyle name="_ET_STYLE_NoName_00__一期景观安装工程 7 3" xfId="4941"/>
    <cellStyle name="_ET_STYLE_NoName_00__一期景观安装工程 8" xfId="4943"/>
    <cellStyle name="_ET_STYLE_NoName_00__一期景观安装工程 9" xfId="4946"/>
    <cellStyle name="_报价1" xfId="1380"/>
    <cellStyle name="_报价1 10" xfId="4947"/>
    <cellStyle name="_报价1 10 2" xfId="4949"/>
    <cellStyle name="_报价1 10 3" xfId="4950"/>
    <cellStyle name="_报价1 11" xfId="4951"/>
    <cellStyle name="_报价1 12" xfId="4952"/>
    <cellStyle name="_报价1 13" xfId="4953"/>
    <cellStyle name="_报价1 14" xfId="1796"/>
    <cellStyle name="_报价1 14 2" xfId="4954"/>
    <cellStyle name="_报价1 14 3" xfId="4955"/>
    <cellStyle name="_报价1 15" xfId="1798"/>
    <cellStyle name="_报价1 16" xfId="1805"/>
    <cellStyle name="_报价1 17" xfId="1814"/>
    <cellStyle name="_报价1 18" xfId="1826"/>
    <cellStyle name="_报价1 19" xfId="1837"/>
    <cellStyle name="_报价1 2" xfId="1391"/>
    <cellStyle name="_报价1 2 10" xfId="4958"/>
    <cellStyle name="_报价1 2 10 2" xfId="338"/>
    <cellStyle name="_报价1 2 10 3" xfId="351"/>
    <cellStyle name="_报价1 2 2" xfId="4372"/>
    <cellStyle name="_报价1 2 2 2" xfId="4959"/>
    <cellStyle name="_报价1 2 2 3" xfId="4961"/>
    <cellStyle name="_报价1 2 3" xfId="4962"/>
    <cellStyle name="_报价1 2 3 2" xfId="4963"/>
    <cellStyle name="_报价1 2 3 3" xfId="4968"/>
    <cellStyle name="_报价1 2 4" xfId="4972"/>
    <cellStyle name="_报价1 2 4 2" xfId="4973"/>
    <cellStyle name="_报价1 2 4 3" xfId="4979"/>
    <cellStyle name="_报价1 2 5" xfId="4986"/>
    <cellStyle name="_报价1 2 5 2" xfId="4987"/>
    <cellStyle name="_报价1 2 5 3" xfId="4817"/>
    <cellStyle name="_报价1 2 6" xfId="4991"/>
    <cellStyle name="_报价1 2 6 2" xfId="3539"/>
    <cellStyle name="_报价1 2 6 3" xfId="3609"/>
    <cellStyle name="_报价1 2 7" xfId="4993"/>
    <cellStyle name="_报价1 2 7 2" xfId="981"/>
    <cellStyle name="_报价1 2 7 3" xfId="4996"/>
    <cellStyle name="_报价1 2 8" xfId="4999"/>
    <cellStyle name="_报价1 2 8 2" xfId="5002"/>
    <cellStyle name="_报价1 2 8 3" xfId="5006"/>
    <cellStyle name="_报价1 2 9" xfId="5009"/>
    <cellStyle name="_报价1 2 9 2" xfId="1359"/>
    <cellStyle name="_报价1 2 9 3" xfId="1427"/>
    <cellStyle name="_报价1 20" xfId="1799"/>
    <cellStyle name="_报价1 21" xfId="1806"/>
    <cellStyle name="_报价1 22" xfId="1815"/>
    <cellStyle name="_报价1 3" xfId="1402"/>
    <cellStyle name="_报价1 3 10" xfId="3851"/>
    <cellStyle name="_报价1 3 10 2" xfId="3870"/>
    <cellStyle name="_报价1 3 10 3" xfId="3889"/>
    <cellStyle name="_报价1 3 2" xfId="4388"/>
    <cellStyle name="_报价1 3 2 2" xfId="3513"/>
    <cellStyle name="_报价1 3 2 3" xfId="3519"/>
    <cellStyle name="_报价1 3 3" xfId="5011"/>
    <cellStyle name="_报价1 3 3 2" xfId="3588"/>
    <cellStyle name="_报价1 3 3 3" xfId="3595"/>
    <cellStyle name="_报价1 3 4" xfId="5014"/>
    <cellStyle name="_报价1 3 4 2" xfId="5016"/>
    <cellStyle name="_报价1 3 4 3" xfId="5020"/>
    <cellStyle name="_报价1 3 5" xfId="5024"/>
    <cellStyle name="_报价1 3 5 2" xfId="5026"/>
    <cellStyle name="_报价1 3 5 3" xfId="5028"/>
    <cellStyle name="_报价1 3 6" xfId="5034"/>
    <cellStyle name="_报价1 3 6 2" xfId="5037"/>
    <cellStyle name="_报价1 3 6 3" xfId="5039"/>
    <cellStyle name="_报价1 3 7" xfId="4770"/>
    <cellStyle name="_报价1 3 7 2" xfId="5041"/>
    <cellStyle name="_报价1 3 7 3" xfId="5043"/>
    <cellStyle name="_报价1 3 8" xfId="4774"/>
    <cellStyle name="_报价1 3 8 2" xfId="5045"/>
    <cellStyle name="_报价1 3 8 3" xfId="5046"/>
    <cellStyle name="_报价1 3 9" xfId="5050"/>
    <cellStyle name="_报价1 3 9 2" xfId="195"/>
    <cellStyle name="_报价1 3 9 3" xfId="205"/>
    <cellStyle name="_报价1 4" xfId="4876"/>
    <cellStyle name="_报价1 4 2" xfId="5055"/>
    <cellStyle name="_报价1 4 3" xfId="5057"/>
    <cellStyle name="_报价1 5" xfId="4880"/>
    <cellStyle name="_报价1 6" xfId="4882"/>
    <cellStyle name="_报价1 7" xfId="58"/>
    <cellStyle name="_报价1 7 2" xfId="66"/>
    <cellStyle name="_报价1 7 3" xfId="80"/>
    <cellStyle name="_报价1 8" xfId="5060"/>
    <cellStyle name="_报价1 9" xfId="5061"/>
    <cellStyle name="_报价1 9 2" xfId="5062"/>
    <cellStyle name="_报价1 9 3" xfId="4845"/>
    <cellStyle name="_报价1_一期景观安装工程" xfId="5064"/>
    <cellStyle name="_报价1_一期景观安装工程 10" xfId="5065"/>
    <cellStyle name="_报价1_一期景观安装工程 10 2" xfId="5067"/>
    <cellStyle name="_报价1_一期景观安装工程 10 3" xfId="5070"/>
    <cellStyle name="_报价1_一期景观安装工程 11" xfId="5073"/>
    <cellStyle name="_报价1_一期景观安装工程 12" xfId="5075"/>
    <cellStyle name="_报价1_一期景观安装工程 13" xfId="5076"/>
    <cellStyle name="_报价1_一期景观安装工程 14" xfId="5079"/>
    <cellStyle name="_报价1_一期景观安装工程 15" xfId="4003"/>
    <cellStyle name="_报价1_一期景观安装工程 15 2" xfId="5080"/>
    <cellStyle name="_报价1_一期景观安装工程 15 3" xfId="5084"/>
    <cellStyle name="_报价1_一期景观安装工程 16" xfId="4008"/>
    <cellStyle name="_报价1_一期景观安装工程 16 2" xfId="4121"/>
    <cellStyle name="_报价1_一期景观安装工程 16 3" xfId="4126"/>
    <cellStyle name="_报价1_一期景观安装工程 17" xfId="5088"/>
    <cellStyle name="_报价1_一期景观安装工程 18" xfId="5090"/>
    <cellStyle name="_报价1_一期景观安装工程 19" xfId="5092"/>
    <cellStyle name="_报价1_一期景观安装工程 2" xfId="3112"/>
    <cellStyle name="_报价1_一期景观安装工程 2 10" xfId="5093"/>
    <cellStyle name="_报价1_一期景观安装工程 2 2" xfId="5095"/>
    <cellStyle name="_报价1_一期景观安装工程 2 3" xfId="5101"/>
    <cellStyle name="_报价1_一期景观安装工程 2 4" xfId="5107"/>
    <cellStyle name="_报价1_一期景观安装工程 2 5" xfId="3461"/>
    <cellStyle name="_报价1_一期景观安装工程 2 6" xfId="3467"/>
    <cellStyle name="_报价1_一期景观安装工程 2 7" xfId="3109"/>
    <cellStyle name="_报价1_一期景观安装工程 2 8" xfId="3114"/>
    <cellStyle name="_报价1_一期景观安装工程 2 9" xfId="5115"/>
    <cellStyle name="_报价1_一期景观安装工程 20" xfId="4004"/>
    <cellStyle name="_报价1_一期景观安装工程 21" xfId="4009"/>
    <cellStyle name="_报价1_一期景观安装工程 21 2" xfId="4120"/>
    <cellStyle name="_报价1_一期景观安装工程 21 3" xfId="4125"/>
    <cellStyle name="_报价1_一期景观安装工程 22" xfId="5087"/>
    <cellStyle name="_报价1_一期景观安装工程 23" xfId="5089"/>
    <cellStyle name="_报价1_一期景观安装工程 24" xfId="5091"/>
    <cellStyle name="_报价1_一期景观安装工程 25" xfId="5117"/>
    <cellStyle name="_报价1_一期景观安装工程 26" xfId="5120"/>
    <cellStyle name="_报价1_一期景观安装工程 27" xfId="5123"/>
    <cellStyle name="_报价1_一期景观安装工程 28" xfId="5124"/>
    <cellStyle name="_报价1_一期景观安装工程 29" xfId="5125"/>
    <cellStyle name="_报价1_一期景观安装工程 3" xfId="5113"/>
    <cellStyle name="_报价1_一期景观安装工程 3 10" xfId="5126"/>
    <cellStyle name="_报价1_一期景观安装工程 3 2" xfId="5129"/>
    <cellStyle name="_报价1_一期景观安装工程 3 3" xfId="5135"/>
    <cellStyle name="_报价1_一期景观安装工程 3 4" xfId="5141"/>
    <cellStyle name="_报价1_一期景观安装工程 3 5" xfId="5148"/>
    <cellStyle name="_报价1_一期景观安装工程 3 6" xfId="5153"/>
    <cellStyle name="_报价1_一期景观安装工程 3 7" xfId="3123"/>
    <cellStyle name="_报价1_一期景观安装工程 3 8" xfId="3129"/>
    <cellStyle name="_报价1_一期景观安装工程 3 9" xfId="5156"/>
    <cellStyle name="_报价1_一期景观安装工程 4" xfId="5162"/>
    <cellStyle name="_报价1_一期景观安装工程 5" xfId="5165"/>
    <cellStyle name="_报价1_一期景观安装工程 5 2" xfId="5167"/>
    <cellStyle name="_报价1_一期景观安装工程 5 3" xfId="5170"/>
    <cellStyle name="_报价1_一期景观安装工程 6" xfId="5174"/>
    <cellStyle name="_报价1_一期景观安装工程 6 2" xfId="5176"/>
    <cellStyle name="_报价1_一期景观安装工程 6 3" xfId="5179"/>
    <cellStyle name="_报价1_一期景观安装工程 7" xfId="1554"/>
    <cellStyle name="_报价1_一期景观安装工程 7 2" xfId="5182"/>
    <cellStyle name="_报价1_一期景观安装工程 7 3" xfId="5185"/>
    <cellStyle name="_报价1_一期景观安装工程 8" xfId="1565"/>
    <cellStyle name="_报价1_一期景观安装工程 9" xfId="2020"/>
    <cellStyle name="_刘文宁全部客户记录-新9-18 (刘文宁 v1)" xfId="4332"/>
    <cellStyle name="_刘文宁全部客户记录-新9-18 (刘文宁 v1) 10" xfId="4142"/>
    <cellStyle name="_刘文宁全部客户记录-新9-18 (刘文宁 v1) 10 2" xfId="5188"/>
    <cellStyle name="_刘文宁全部客户记录-新9-18 (刘文宁 v1) 10 3" xfId="5190"/>
    <cellStyle name="_刘文宁全部客户记录-新9-18 (刘文宁 v1) 11" xfId="4149"/>
    <cellStyle name="_刘文宁全部客户记录-新9-18 (刘文宁 v1) 12" xfId="4155"/>
    <cellStyle name="_刘文宁全部客户记录-新9-18 (刘文宁 v1) 13" xfId="4164"/>
    <cellStyle name="_刘文宁全部客户记录-新9-18 (刘文宁 v1) 14" xfId="4173"/>
    <cellStyle name="_刘文宁全部客户记录-新9-18 (刘文宁 v1) 14 2" xfId="2585"/>
    <cellStyle name="_刘文宁全部客户记录-新9-18 (刘文宁 v1) 14 3" xfId="4093"/>
    <cellStyle name="_刘文宁全部客户记录-新9-18 (刘文宁 v1) 15" xfId="3296"/>
    <cellStyle name="_刘文宁全部客户记录-新9-18 (刘文宁 v1) 16" xfId="3303"/>
    <cellStyle name="_刘文宁全部客户记录-新9-18 (刘文宁 v1) 17" xfId="5192"/>
    <cellStyle name="_刘文宁全部客户记录-新9-18 (刘文宁 v1) 18" xfId="5194"/>
    <cellStyle name="_刘文宁全部客户记录-新9-18 (刘文宁 v1) 19" xfId="5196"/>
    <cellStyle name="_刘文宁全部客户记录-新9-18 (刘文宁 v1) 2" xfId="1466"/>
    <cellStyle name="_刘文宁全部客户记录-新9-18 (刘文宁 v1) 2 10" xfId="5198"/>
    <cellStyle name="_刘文宁全部客户记录-新9-18 (刘文宁 v1) 2 10 2" xfId="7"/>
    <cellStyle name="_刘文宁全部客户记录-新9-18 (刘文宁 v1) 2 10 3" xfId="5202"/>
    <cellStyle name="_刘文宁全部客户记录-新9-18 (刘文宁 v1) 2 2" xfId="1475"/>
    <cellStyle name="_刘文宁全部客户记录-新9-18 (刘文宁 v1) 2 2 2" xfId="1479"/>
    <cellStyle name="_刘文宁全部客户记录-新9-18 (刘文宁 v1) 2 2 3" xfId="1485"/>
    <cellStyle name="_刘文宁全部客户记录-新9-18 (刘文宁 v1) 2 3" xfId="1493"/>
    <cellStyle name="_刘文宁全部客户记录-新9-18 (刘文宁 v1) 2 3 2" xfId="1499"/>
    <cellStyle name="_刘文宁全部客户记录-新9-18 (刘文宁 v1) 2 3 3" xfId="1503"/>
    <cellStyle name="_刘文宁全部客户记录-新9-18 (刘文宁 v1) 2 4" xfId="1512"/>
    <cellStyle name="_刘文宁全部客户记录-新9-18 (刘文宁 v1) 2 4 2" xfId="1516"/>
    <cellStyle name="_刘文宁全部客户记录-新9-18 (刘文宁 v1) 2 4 3" xfId="1523"/>
    <cellStyle name="_刘文宁全部客户记录-新9-18 (刘文宁 v1) 2 5" xfId="1536"/>
    <cellStyle name="_刘文宁全部客户记录-新9-18 (刘文宁 v1) 2 5 2" xfId="1134"/>
    <cellStyle name="_刘文宁全部客户记录-新9-18 (刘文宁 v1) 2 5 3" xfId="1145"/>
    <cellStyle name="_刘文宁全部客户记录-新9-18 (刘文宁 v1) 2 6" xfId="1548"/>
    <cellStyle name="_刘文宁全部客户记录-新9-18 (刘文宁 v1) 2 6 2" xfId="1157"/>
    <cellStyle name="_刘文宁全部客户记录-新9-18 (刘文宁 v1) 2 6 3" xfId="1172"/>
    <cellStyle name="_刘文宁全部客户记录-新9-18 (刘文宁 v1) 2 7" xfId="418"/>
    <cellStyle name="_刘文宁全部客户记录-新9-18 (刘文宁 v1) 2 7 2" xfId="1557"/>
    <cellStyle name="_刘文宁全部客户记录-新9-18 (刘文宁 v1) 2 7 3" xfId="1568"/>
    <cellStyle name="_刘文宁全部客户记录-新9-18 (刘文宁 v1) 2 8" xfId="432"/>
    <cellStyle name="_刘文宁全部客户记录-新9-18 (刘文宁 v1) 2 8 2" xfId="2079"/>
    <cellStyle name="_刘文宁全部客户记录-新9-18 (刘文宁 v1) 2 8 3" xfId="2086"/>
    <cellStyle name="_刘文宁全部客户记录-新9-18 (刘文宁 v1) 2 9" xfId="94"/>
    <cellStyle name="_刘文宁全部客户记录-新9-18 (刘文宁 v1) 2 9 2" xfId="2117"/>
    <cellStyle name="_刘文宁全部客户记录-新9-18 (刘文宁 v1) 2 9 3" xfId="2121"/>
    <cellStyle name="_刘文宁全部客户记录-新9-18 (刘文宁 v1) 20" xfId="3297"/>
    <cellStyle name="_刘文宁全部客户记录-新9-18 (刘文宁 v1) 21" xfId="3304"/>
    <cellStyle name="_刘文宁全部客户记录-新9-18 (刘文宁 v1) 22" xfId="5191"/>
    <cellStyle name="_刘文宁全部客户记录-新9-18 (刘文宁 v1) 3" xfId="1574"/>
    <cellStyle name="_刘文宁全部客户记录-新9-18 (刘文宁 v1) 3 10" xfId="5205"/>
    <cellStyle name="_刘文宁全部客户记录-新9-18 (刘文宁 v1) 3 10 2" xfId="5210"/>
    <cellStyle name="_刘文宁全部客户记录-新9-18 (刘文宁 v1) 3 10 3" xfId="3377"/>
    <cellStyle name="_刘文宁全部客户记录-新9-18 (刘文宁 v1) 3 2" xfId="864"/>
    <cellStyle name="_刘文宁全部客户记录-新9-18 (刘文宁 v1) 3 2 2" xfId="871"/>
    <cellStyle name="_刘文宁全部客户记录-新9-18 (刘文宁 v1) 3 2 3" xfId="874"/>
    <cellStyle name="_刘文宁全部客户记录-新9-18 (刘文宁 v1) 3 3" xfId="890"/>
    <cellStyle name="_刘文宁全部客户记录-新9-18 (刘文宁 v1) 3 3 2" xfId="1582"/>
    <cellStyle name="_刘文宁全部客户记录-新9-18 (刘文宁 v1) 3 3 3" xfId="1589"/>
    <cellStyle name="_刘文宁全部客户记录-新9-18 (刘文宁 v1) 3 4" xfId="900"/>
    <cellStyle name="_刘文宁全部客户记录-新9-18 (刘文宁 v1) 3 4 2" xfId="1594"/>
    <cellStyle name="_刘文宁全部客户记录-新9-18 (刘文宁 v1) 3 4 3" xfId="1603"/>
    <cellStyle name="_刘文宁全部客户记录-新9-18 (刘文宁 v1) 3 5" xfId="912"/>
    <cellStyle name="_刘文宁全部客户记录-新9-18 (刘文宁 v1) 3 5 2" xfId="1607"/>
    <cellStyle name="_刘文宁全部客户记录-新9-18 (刘文宁 v1) 3 5 3" xfId="1618"/>
    <cellStyle name="_刘文宁全部客户记录-新9-18 (刘文宁 v1) 3 6" xfId="715"/>
    <cellStyle name="_刘文宁全部客户记录-新9-18 (刘文宁 v1) 3 6 2" xfId="1236"/>
    <cellStyle name="_刘文宁全部客户记录-新9-18 (刘文宁 v1) 3 6 3" xfId="1254"/>
    <cellStyle name="_刘文宁全部客户记录-新9-18 (刘文宁 v1) 3 7" xfId="468"/>
    <cellStyle name="_刘文宁全部客户记录-新9-18 (刘文宁 v1) 3 7 2" xfId="1623"/>
    <cellStyle name="_刘文宁全部客户记录-新9-18 (刘文宁 v1) 3 7 3" xfId="1634"/>
    <cellStyle name="_刘文宁全部客户记录-新9-18 (刘文宁 v1) 3 8" xfId="482"/>
    <cellStyle name="_刘文宁全部客户记录-新9-18 (刘文宁 v1) 3 8 2" xfId="2383"/>
    <cellStyle name="_刘文宁全部客户记录-新9-18 (刘文宁 v1) 3 8 3" xfId="2394"/>
    <cellStyle name="_刘文宁全部客户记录-新9-18 (刘文宁 v1) 3 9" xfId="1307"/>
    <cellStyle name="_刘文宁全部客户记录-新9-18 (刘文宁 v1) 3 9 2" xfId="2433"/>
    <cellStyle name="_刘文宁全部客户记录-新9-18 (刘文宁 v1) 3 9 3" xfId="2444"/>
    <cellStyle name="_刘文宁全部客户记录-新9-18 (刘文宁 v1) 4" xfId="674"/>
    <cellStyle name="_刘文宁全部客户记录-新9-18 (刘文宁 v1) 4 2" xfId="1192"/>
    <cellStyle name="_刘文宁全部客户记录-新9-18 (刘文宁 v1) 4 3" xfId="1200"/>
    <cellStyle name="_刘文宁全部客户记录-新9-18 (刘文宁 v1) 5" xfId="1867"/>
    <cellStyle name="_刘文宁全部客户记录-新9-18 (刘文宁 v1) 6" xfId="1875"/>
    <cellStyle name="_刘文宁全部客户记录-新9-18 (刘文宁 v1) 7" xfId="1885"/>
    <cellStyle name="_刘文宁全部客户记录-新9-18 (刘文宁 v1) 7 2" xfId="1890"/>
    <cellStyle name="_刘文宁全部客户记录-新9-18 (刘文宁 v1) 7 3" xfId="1893"/>
    <cellStyle name="_刘文宁全部客户记录-新9-18 (刘文宁 v1) 8" xfId="1896"/>
    <cellStyle name="_刘文宁全部客户记录-新9-18 (刘文宁 v1) 9" xfId="1906"/>
    <cellStyle name="_刘文宁全部客户记录-新9-18 (刘文宁 v1) 9 2" xfId="1910"/>
    <cellStyle name="_刘文宁全部客户记录-新9-18 (刘文宁 v1) 9 3" xfId="1913"/>
    <cellStyle name="_刘文宁全部客户记录-新9-18 (刘文宁 v1)_一期景观安装工程" xfId="8"/>
    <cellStyle name="_刘文宁全部客户记录-新9-18 (刘文宁 v1)_一期景观安装工程 10" xfId="5217"/>
    <cellStyle name="_刘文宁全部客户记录-新9-18 (刘文宁 v1)_一期景观安装工程 10 2" xfId="5218"/>
    <cellStyle name="_刘文宁全部客户记录-新9-18 (刘文宁 v1)_一期景观安装工程 10 3" xfId="3924"/>
    <cellStyle name="_刘文宁全部客户记录-新9-18 (刘文宁 v1)_一期景观安装工程 11" xfId="5225"/>
    <cellStyle name="_刘文宁全部客户记录-新9-18 (刘文宁 v1)_一期景观安装工程 12" xfId="5230"/>
    <cellStyle name="_刘文宁全部客户记录-新9-18 (刘文宁 v1)_一期景观安装工程 13" xfId="5233"/>
    <cellStyle name="_刘文宁全部客户记录-新9-18 (刘文宁 v1)_一期景观安装工程 14" xfId="5236"/>
    <cellStyle name="_刘文宁全部客户记录-新9-18 (刘文宁 v1)_一期景观安装工程 15" xfId="5240"/>
    <cellStyle name="_刘文宁全部客户记录-新9-18 (刘文宁 v1)_一期景观安装工程 15 2" xfId="5241"/>
    <cellStyle name="_刘文宁全部客户记录-新9-18 (刘文宁 v1)_一期景观安装工程 15 3" xfId="5242"/>
    <cellStyle name="_刘文宁全部客户记录-新9-18 (刘文宁 v1)_一期景观安装工程 16" xfId="5245"/>
    <cellStyle name="_刘文宁全部客户记录-新9-18 (刘文宁 v1)_一期景观安装工程 16 2" xfId="5247"/>
    <cellStyle name="_刘文宁全部客户记录-新9-18 (刘文宁 v1)_一期景观安装工程 16 3" xfId="5250"/>
    <cellStyle name="_刘文宁全部客户记录-新9-18 (刘文宁 v1)_一期景观安装工程 17" xfId="5254"/>
    <cellStyle name="_刘文宁全部客户记录-新9-18 (刘文宁 v1)_一期景观安装工程 18" xfId="5257"/>
    <cellStyle name="_刘文宁全部客户记录-新9-18 (刘文宁 v1)_一期景观安装工程 19" xfId="5261"/>
    <cellStyle name="_刘文宁全部客户记录-新9-18 (刘文宁 v1)_一期景观安装工程 2" xfId="294"/>
    <cellStyle name="_刘文宁全部客户记录-新9-18 (刘文宁 v1)_一期景观安装工程 2 10" xfId="5262"/>
    <cellStyle name="_刘文宁全部客户记录-新9-18 (刘文宁 v1)_一期景观安装工程 2 2" xfId="5263"/>
    <cellStyle name="_刘文宁全部客户记录-新9-18 (刘文宁 v1)_一期景观安装工程 2 3" xfId="5264"/>
    <cellStyle name="_刘文宁全部客户记录-新9-18 (刘文宁 v1)_一期景观安装工程 2 4" xfId="5265"/>
    <cellStyle name="_刘文宁全部客户记录-新9-18 (刘文宁 v1)_一期景观安装工程 2 5" xfId="5266"/>
    <cellStyle name="_刘文宁全部客户记录-新9-18 (刘文宁 v1)_一期景观安装工程 2 6" xfId="975"/>
    <cellStyle name="_刘文宁全部客户记录-新9-18 (刘文宁 v1)_一期景观安装工程 2 7" xfId="1020"/>
    <cellStyle name="_刘文宁全部客户记录-新9-18 (刘文宁 v1)_一期景观安装工程 2 8" xfId="1032"/>
    <cellStyle name="_刘文宁全部客户记录-新9-18 (刘文宁 v1)_一期景观安装工程 2 9" xfId="116"/>
    <cellStyle name="_刘文宁全部客户记录-新9-18 (刘文宁 v1)_一期景观安装工程 20" xfId="5239"/>
    <cellStyle name="_刘文宁全部客户记录-新9-18 (刘文宁 v1)_一期景观安装工程 21" xfId="5244"/>
    <cellStyle name="_刘文宁全部客户记录-新9-18 (刘文宁 v1)_一期景观安装工程 21 2" xfId="5246"/>
    <cellStyle name="_刘文宁全部客户记录-新9-18 (刘文宁 v1)_一期景观安装工程 21 3" xfId="5249"/>
    <cellStyle name="_刘文宁全部客户记录-新9-18 (刘文宁 v1)_一期景观安装工程 22" xfId="5253"/>
    <cellStyle name="_刘文宁全部客户记录-新9-18 (刘文宁 v1)_一期景观安装工程 23" xfId="5256"/>
    <cellStyle name="_刘文宁全部客户记录-新9-18 (刘文宁 v1)_一期景观安装工程 24" xfId="5260"/>
    <cellStyle name="_刘文宁全部客户记录-新9-18 (刘文宁 v1)_一期景观安装工程 25" xfId="5268"/>
    <cellStyle name="_刘文宁全部客户记录-新9-18 (刘文宁 v1)_一期景观安装工程 26" xfId="5269"/>
    <cellStyle name="_刘文宁全部客户记录-新9-18 (刘文宁 v1)_一期景观安装工程 27" xfId="5270"/>
    <cellStyle name="_刘文宁全部客户记录-新9-18 (刘文宁 v1)_一期景观安装工程 28" xfId="5271"/>
    <cellStyle name="_刘文宁全部客户记录-新9-18 (刘文宁 v1)_一期景观安装工程 29" xfId="5272"/>
    <cellStyle name="_刘文宁全部客户记录-新9-18 (刘文宁 v1)_一期景观安装工程 3" xfId="303"/>
    <cellStyle name="_刘文宁全部客户记录-新9-18 (刘文宁 v1)_一期景观安装工程 3 10" xfId="5273"/>
    <cellStyle name="_刘文宁全部客户记录-新9-18 (刘文宁 v1)_一期景观安装工程 3 2" xfId="5274"/>
    <cellStyle name="_刘文宁全部客户记录-新9-18 (刘文宁 v1)_一期景观安装工程 3 3" xfId="5276"/>
    <cellStyle name="_刘文宁全部客户记录-新9-18 (刘文宁 v1)_一期景观安装工程 3 4" xfId="5277"/>
    <cellStyle name="_刘文宁全部客户记录-新9-18 (刘文宁 v1)_一期景观安装工程 3 5" xfId="5279"/>
    <cellStyle name="_刘文宁全部客户记录-新9-18 (刘文宁 v1)_一期景观安装工程 3 6" xfId="5283"/>
    <cellStyle name="_刘文宁全部客户记录-新9-18 (刘文宁 v1)_一期景观安装工程 3 7" xfId="5287"/>
    <cellStyle name="_刘文宁全部客户记录-新9-18 (刘文宁 v1)_一期景观安装工程 3 8" xfId="5288"/>
    <cellStyle name="_刘文宁全部客户记录-新9-18 (刘文宁 v1)_一期景观安装工程 3 9" xfId="5289"/>
    <cellStyle name="_刘文宁全部客户记录-新9-18 (刘文宁 v1)_一期景观安装工程 4" xfId="5290"/>
    <cellStyle name="_刘文宁全部客户记录-新9-18 (刘文宁 v1)_一期景观安装工程 5" xfId="5294"/>
    <cellStyle name="_刘文宁全部客户记录-新9-18 (刘文宁 v1)_一期景观安装工程 5 2" xfId="5296"/>
    <cellStyle name="_刘文宁全部客户记录-新9-18 (刘文宁 v1)_一期景观安装工程 5 3" xfId="570"/>
    <cellStyle name="_刘文宁全部客户记录-新9-18 (刘文宁 v1)_一期景观安装工程 6" xfId="5298"/>
    <cellStyle name="_刘文宁全部客户记录-新9-18 (刘文宁 v1)_一期景观安装工程 6 2" xfId="5302"/>
    <cellStyle name="_刘文宁全部客户记录-新9-18 (刘文宁 v1)_一期景观安装工程 6 3" xfId="583"/>
    <cellStyle name="_刘文宁全部客户记录-新9-18 (刘文宁 v1)_一期景观安装工程 7" xfId="5304"/>
    <cellStyle name="_刘文宁全部客户记录-新9-18 (刘文宁 v1)_一期景观安装工程 7 2" xfId="5310"/>
    <cellStyle name="_刘文宁全部客户记录-新9-18 (刘文宁 v1)_一期景观安装工程 7 3" xfId="591"/>
    <cellStyle name="_刘文宁全部客户记录-新9-18 (刘文宁 v1)_一期景观安装工程 8" xfId="5311"/>
    <cellStyle name="_刘文宁全部客户记录-新9-18 (刘文宁 v1)_一期景观安装工程 9" xfId="5312"/>
    <cellStyle name="_设备清单一卡通-02.2.25" xfId="5314"/>
    <cellStyle name="_设备清单一卡通-02.2.25 10" xfId="2736"/>
    <cellStyle name="_设备清单一卡通-02.2.25 10 2" xfId="5317"/>
    <cellStyle name="_设备清单一卡通-02.2.25 10 3" xfId="4578"/>
    <cellStyle name="_设备清单一卡通-02.2.25 11" xfId="4760"/>
    <cellStyle name="_设备清单一卡通-02.2.25 12" xfId="4764"/>
    <cellStyle name="_设备清单一卡通-02.2.25 13" xfId="4778"/>
    <cellStyle name="_设备清单一卡通-02.2.25 14" xfId="3698"/>
    <cellStyle name="_设备清单一卡通-02.2.25 14 2" xfId="3705"/>
    <cellStyle name="_设备清单一卡通-02.2.25 14 3" xfId="3713"/>
    <cellStyle name="_设备清单一卡通-02.2.25 15" xfId="3721"/>
    <cellStyle name="_设备清单一卡通-02.2.25 16" xfId="3737"/>
    <cellStyle name="_设备清单一卡通-02.2.25 17" xfId="3754"/>
    <cellStyle name="_设备清单一卡通-02.2.25 18" xfId="3771"/>
    <cellStyle name="_设备清单一卡通-02.2.25 19" xfId="3779"/>
    <cellStyle name="_设备清单一卡通-02.2.25 2" xfId="5320"/>
    <cellStyle name="_设备清单一卡通-02.2.25 2 10" xfId="4967"/>
    <cellStyle name="_设备清单一卡通-02.2.25 2 10 2" xfId="5322"/>
    <cellStyle name="_设备清单一卡通-02.2.25 2 10 3" xfId="5327"/>
    <cellStyle name="_设备清单一卡通-02.2.25 2 2" xfId="5332"/>
    <cellStyle name="_设备清单一卡通-02.2.25 2 2 2" xfId="3390"/>
    <cellStyle name="_设备清单一卡通-02.2.25 2 2 3" xfId="5341"/>
    <cellStyle name="_设备清单一卡通-02.2.25 2 3" xfId="5346"/>
    <cellStyle name="_设备清单一卡通-02.2.25 2 3 2" xfId="3396"/>
    <cellStyle name="_设备清单一卡通-02.2.25 2 3 3" xfId="5347"/>
    <cellStyle name="_设备清单一卡通-02.2.25 2 4" xfId="5350"/>
    <cellStyle name="_设备清单一卡通-02.2.25 2 4 2" xfId="3402"/>
    <cellStyle name="_设备清单一卡通-02.2.25 2 4 3" xfId="5353"/>
    <cellStyle name="_设备清单一卡通-02.2.25 2 5" xfId="5355"/>
    <cellStyle name="_设备清单一卡通-02.2.25 2 5 2" xfId="5356"/>
    <cellStyle name="_设备清单一卡通-02.2.25 2 5 3" xfId="5358"/>
    <cellStyle name="_设备清单一卡通-02.2.25 2 6" xfId="5361"/>
    <cellStyle name="_设备清单一卡通-02.2.25 2 6 2" xfId="5362"/>
    <cellStyle name="_设备清单一卡通-02.2.25 2 6 3" xfId="5363"/>
    <cellStyle name="_设备清单一卡通-02.2.25 2 7" xfId="5365"/>
    <cellStyle name="_设备清单一卡通-02.2.25 2 7 2" xfId="5366"/>
    <cellStyle name="_设备清单一卡通-02.2.25 2 7 3" xfId="5367"/>
    <cellStyle name="_设备清单一卡通-02.2.25 2 8" xfId="1457"/>
    <cellStyle name="_设备清单一卡通-02.2.25 2 8 2" xfId="5368"/>
    <cellStyle name="_设备清单一卡通-02.2.25 2 8 3" xfId="5371"/>
    <cellStyle name="_设备清单一卡通-02.2.25 2 9" xfId="1461"/>
    <cellStyle name="_设备清单一卡通-02.2.25 2 9 2" xfId="5374"/>
    <cellStyle name="_设备清单一卡通-02.2.25 2 9 3" xfId="5377"/>
    <cellStyle name="_设备清单一卡通-02.2.25 20" xfId="3722"/>
    <cellStyle name="_设备清单一卡通-02.2.25 21" xfId="3738"/>
    <cellStyle name="_设备清单一卡通-02.2.25 22" xfId="3755"/>
    <cellStyle name="_设备清单一卡通-02.2.25 3" xfId="5381"/>
    <cellStyle name="_设备清单一卡通-02.2.25 3 10" xfId="5005"/>
    <cellStyle name="_设备清单一卡通-02.2.25 3 10 2" xfId="5382"/>
    <cellStyle name="_设备清单一卡通-02.2.25 3 10 3" xfId="5386"/>
    <cellStyle name="_设备清单一卡通-02.2.25 3 2" xfId="5390"/>
    <cellStyle name="_设备清单一卡通-02.2.25 3 2 2" xfId="2257"/>
    <cellStyle name="_设备清单一卡通-02.2.25 3 2 3" xfId="2261"/>
    <cellStyle name="_设备清单一卡通-02.2.25 3 3" xfId="5391"/>
    <cellStyle name="_设备清单一卡通-02.2.25 3 3 2" xfId="5392"/>
    <cellStyle name="_设备清单一卡通-02.2.25 3 3 3" xfId="5393"/>
    <cellStyle name="_设备清单一卡通-02.2.25 3 4" xfId="5394"/>
    <cellStyle name="_设备清单一卡通-02.2.25 3 4 2" xfId="5395"/>
    <cellStyle name="_设备清单一卡通-02.2.25 3 4 3" xfId="5396"/>
    <cellStyle name="_设备清单一卡通-02.2.25 3 5" xfId="5397"/>
    <cellStyle name="_设备清单一卡通-02.2.25 3 5 2" xfId="5398"/>
    <cellStyle name="_设备清单一卡通-02.2.25 3 5 3" xfId="5400"/>
    <cellStyle name="_设备清单一卡通-02.2.25 3 6" xfId="5401"/>
    <cellStyle name="_设备清单一卡通-02.2.25 3 6 2" xfId="1851"/>
    <cellStyle name="_设备清单一卡通-02.2.25 3 6 3" xfId="1854"/>
    <cellStyle name="_设备清单一卡通-02.2.25 3 7" xfId="5402"/>
    <cellStyle name="_设备清单一卡通-02.2.25 3 7 2" xfId="2161"/>
    <cellStyle name="_设备清单一卡通-02.2.25 3 7 3" xfId="2192"/>
    <cellStyle name="_设备清单一卡通-02.2.25 3 8" xfId="1763"/>
    <cellStyle name="_设备清单一卡通-02.2.25 3 8 2" xfId="2488"/>
    <cellStyle name="_设备清单一卡通-02.2.25 3 8 3" xfId="2537"/>
    <cellStyle name="_设备清单一卡通-02.2.25 3 9" xfId="1765"/>
    <cellStyle name="_设备清单一卡通-02.2.25 3 9 2" xfId="2686"/>
    <cellStyle name="_设备清单一卡通-02.2.25 3 9 3" xfId="2695"/>
    <cellStyle name="_设备清单一卡通-02.2.25 4" xfId="5403"/>
    <cellStyle name="_设备清单一卡通-02.2.25 4 2" xfId="5404"/>
    <cellStyle name="_设备清单一卡通-02.2.25 4 3" xfId="5405"/>
    <cellStyle name="_设备清单一卡通-02.2.25 5" xfId="5406"/>
    <cellStyle name="_设备清单一卡通-02.2.25 6" xfId="5407"/>
    <cellStyle name="_设备清单一卡通-02.2.25 7" xfId="4379"/>
    <cellStyle name="_设备清单一卡通-02.2.25 7 2" xfId="4456"/>
    <cellStyle name="_设备清单一卡通-02.2.25 7 3" xfId="4462"/>
    <cellStyle name="_设备清单一卡通-02.2.25 8" xfId="4387"/>
    <cellStyle name="_设备清单一卡通-02.2.25 9" xfId="5010"/>
    <cellStyle name="_设备清单一卡通-02.2.25 9 2" xfId="3590"/>
    <cellStyle name="_设备清单一卡通-02.2.25 9 3" xfId="3597"/>
    <cellStyle name="_设备清单一卡通-02.2.25_一期景观安装工程" xfId="5408"/>
    <cellStyle name="_设备清单一卡通-02.2.25_一期景观安装工程 10" xfId="5411"/>
    <cellStyle name="_设备清单一卡通-02.2.25_一期景观安装工程 10 2" xfId="5413"/>
    <cellStyle name="_设备清单一卡通-02.2.25_一期景观安装工程 10 3" xfId="5414"/>
    <cellStyle name="_设备清单一卡通-02.2.25_一期景观安装工程 11" xfId="5415"/>
    <cellStyle name="_设备清单一卡通-02.2.25_一期景观安装工程 12" xfId="5416"/>
    <cellStyle name="_设备清单一卡通-02.2.25_一期景观安装工程 13" xfId="3024"/>
    <cellStyle name="_设备清单一卡通-02.2.25_一期景观安装工程 14" xfId="5417"/>
    <cellStyle name="_设备清单一卡通-02.2.25_一期景观安装工程 15" xfId="5420"/>
    <cellStyle name="_设备清单一卡通-02.2.25_一期景观安装工程 15 2" xfId="5428"/>
    <cellStyle name="_设备清单一卡通-02.2.25_一期景观安装工程 15 3" xfId="5430"/>
    <cellStyle name="_设备清单一卡通-02.2.25_一期景观安装工程 16" xfId="5433"/>
    <cellStyle name="_设备清单一卡通-02.2.25_一期景观安装工程 16 2" xfId="5436"/>
    <cellStyle name="_设备清单一卡通-02.2.25_一期景观安装工程 16 3" xfId="5439"/>
    <cellStyle name="_设备清单一卡通-02.2.25_一期景观安装工程 17" xfId="5443"/>
    <cellStyle name="_设备清单一卡通-02.2.25_一期景观安装工程 18" xfId="5447"/>
    <cellStyle name="_设备清单一卡通-02.2.25_一期景观安装工程 19" xfId="5450"/>
    <cellStyle name="_设备清单一卡通-02.2.25_一期景观安装工程 2" xfId="5451"/>
    <cellStyle name="_设备清单一卡通-02.2.25_一期景观安装工程 2 10" xfId="5452"/>
    <cellStyle name="_设备清单一卡通-02.2.25_一期景观安装工程 2 2" xfId="5453"/>
    <cellStyle name="_设备清单一卡通-02.2.25_一期景观安装工程 2 3" xfId="5454"/>
    <cellStyle name="_设备清单一卡通-02.2.25_一期景观安装工程 2 4" xfId="5455"/>
    <cellStyle name="_设备清单一卡通-02.2.25_一期景观安装工程 2 5" xfId="5456"/>
    <cellStyle name="_设备清单一卡通-02.2.25_一期景观安装工程 2 6" xfId="5458"/>
    <cellStyle name="_设备清单一卡通-02.2.25_一期景观安装工程 2 7" xfId="5461"/>
    <cellStyle name="_设备清单一卡通-02.2.25_一期景观安装工程 2 8" xfId="5464"/>
    <cellStyle name="_设备清单一卡通-02.2.25_一期景观安装工程 2 9" xfId="5466"/>
    <cellStyle name="_设备清单一卡通-02.2.25_一期景观安装工程 20" xfId="5419"/>
    <cellStyle name="_设备清单一卡通-02.2.25_一期景观安装工程 21" xfId="5432"/>
    <cellStyle name="_设备清单一卡通-02.2.25_一期景观安装工程 21 2" xfId="5435"/>
    <cellStyle name="_设备清单一卡通-02.2.25_一期景观安装工程 21 3" xfId="5438"/>
    <cellStyle name="_设备清单一卡通-02.2.25_一期景观安装工程 22" xfId="5442"/>
    <cellStyle name="_设备清单一卡通-02.2.25_一期景观安装工程 23" xfId="5446"/>
    <cellStyle name="_设备清单一卡通-02.2.25_一期景观安装工程 24" xfId="5449"/>
    <cellStyle name="_设备清单一卡通-02.2.25_一期景观安装工程 25" xfId="5469"/>
    <cellStyle name="_设备清单一卡通-02.2.25_一期景观安装工程 26" xfId="5473"/>
    <cellStyle name="_设备清单一卡通-02.2.25_一期景观安装工程 27" xfId="5478"/>
    <cellStyle name="_设备清单一卡通-02.2.25_一期景观安装工程 28" xfId="5480"/>
    <cellStyle name="_设备清单一卡通-02.2.25_一期景观安装工程 29" xfId="5484"/>
    <cellStyle name="_设备清单一卡通-02.2.25_一期景观安装工程 3" xfId="5487"/>
    <cellStyle name="_设备清单一卡通-02.2.25_一期景观安装工程 3 10" xfId="5488"/>
    <cellStyle name="_设备清单一卡通-02.2.25_一期景观安装工程 3 2" xfId="5489"/>
    <cellStyle name="_设备清单一卡通-02.2.25_一期景观安装工程 3 3" xfId="5490"/>
    <cellStyle name="_设备清单一卡通-02.2.25_一期景观安装工程 3 4" xfId="5491"/>
    <cellStyle name="_设备清单一卡通-02.2.25_一期景观安装工程 3 5" xfId="5492"/>
    <cellStyle name="_设备清单一卡通-02.2.25_一期景观安装工程 3 6" xfId="5493"/>
    <cellStyle name="_设备清单一卡通-02.2.25_一期景观安装工程 3 7" xfId="5495"/>
    <cellStyle name="_设备清单一卡通-02.2.25_一期景观安装工程 3 8" xfId="5497"/>
    <cellStyle name="_设备清单一卡通-02.2.25_一期景观安装工程 3 9" xfId="5498"/>
    <cellStyle name="_设备清单一卡通-02.2.25_一期景观安装工程 4" xfId="5499"/>
    <cellStyle name="_设备清单一卡通-02.2.25_一期景观安装工程 5" xfId="5500"/>
    <cellStyle name="_设备清单一卡通-02.2.25_一期景观安装工程 5 2" xfId="5503"/>
    <cellStyle name="_设备清单一卡通-02.2.25_一期景观安装工程 5 3" xfId="5511"/>
    <cellStyle name="_设备清单一卡通-02.2.25_一期景观安装工程 6" xfId="5520"/>
    <cellStyle name="_设备清单一卡通-02.2.25_一期景观安装工程 6 2" xfId="5521"/>
    <cellStyle name="_设备清单一卡通-02.2.25_一期景观安装工程 6 3" xfId="5522"/>
    <cellStyle name="_设备清单一卡通-02.2.25_一期景观安装工程 7" xfId="5523"/>
    <cellStyle name="_设备清单一卡通-02.2.25_一期景观安装工程 7 2" xfId="5525"/>
    <cellStyle name="_设备清单一卡通-02.2.25_一期景观安装工程 7 3" xfId="5526"/>
    <cellStyle name="_设备清单一卡通-02.2.25_一期景观安装工程 8" xfId="5527"/>
    <cellStyle name="_设备清单一卡通-02.2.25_一期景观安装工程 9" xfId="5528"/>
    <cellStyle name="0,0_x000d__x000a_NA_x000d__x000a_" xfId="5303"/>
    <cellStyle name="0,0_x000d__x000a_NA_x000d__x000a_ 2" xfId="5306"/>
    <cellStyle name="0,0_x000d__x000a_NA_x000d__x000a_ 2 2" xfId="1504"/>
    <cellStyle name="0,0_x000d__x000a_NA_x000d__x000a_ 2 3" xfId="5529"/>
    <cellStyle name="0,0_x000d__x000a_NA_x000d__x000a_ 3" xfId="595"/>
    <cellStyle name="0,0_x000d__x000a_NA_x000d__x000a_ 3 2" xfId="1524"/>
    <cellStyle name="0,0_x000d__x000a_NA_x000d__x000a_ 3 3" xfId="2844"/>
    <cellStyle name="0,0_x000d__x000a_NA_x000d__x000a_ 4" xfId="605"/>
    <cellStyle name="0,0_x000d__x000a_NA_x000d__x000a_ 4 2" xfId="1146"/>
    <cellStyle name="0,0_x000d__x000a_NA_x000d__x000a_ 4 3" xfId="1938"/>
    <cellStyle name="0,0_x000d__x000a_NA_x000d__x000a_ 5" xfId="5530"/>
    <cellStyle name="0,0_x000d__x000a_NA_x000d__x000a_ 5 2" xfId="1173"/>
    <cellStyle name="0,0_x000d__x000a_NA_x000d__x000a_ 5 3" xfId="1980"/>
    <cellStyle name="0,0_x000d__x000a_NA_x000d__x000a_ 6" xfId="5532"/>
    <cellStyle name="0,0_x000d__x000a_NA_x000d__x000a_ 6 2" xfId="1569"/>
    <cellStyle name="0,0_x000d__x000a_NA_x000d__x000a_ 6 3" xfId="2023"/>
    <cellStyle name="0,0_x000d__x000a_NA_x000d__x000a_ 7" xfId="5533"/>
    <cellStyle name="0,0_x000d__x000a_NA_x000d__x000a_ 7 2" xfId="2087"/>
    <cellStyle name="0,0_x000d__x000a_NA_x000d__x000a_ 7 3" xfId="2091"/>
    <cellStyle name="0,0_x000d__x000a_NA_x000d__x000a_ 8" xfId="5534"/>
    <cellStyle name="0,0_x000d__x000a_NA_x000d__x000a_ 8 2" xfId="2122"/>
    <cellStyle name="0,0_x000d__x000a_NA_x000d__x000a_ 8 3" xfId="2125"/>
    <cellStyle name="0,0_x005f_x000d__x000a_NA_x005f_x000d__x000a_" xfId="2883"/>
    <cellStyle name="1309 -3h-侯洪华" xfId="5538"/>
    <cellStyle name="20% - 强调文字颜色 1 10" xfId="5544"/>
    <cellStyle name="20% - 强调文字颜色 1 11" xfId="5550"/>
    <cellStyle name="20% - 强调文字颜色 1 12" xfId="5556"/>
    <cellStyle name="20% - 强调文字颜色 1 13" xfId="5565"/>
    <cellStyle name="20% - 强调文字颜色 1 14" xfId="5573"/>
    <cellStyle name="20% - 强调文字颜色 1 15" xfId="4794"/>
    <cellStyle name="20% - 强调文字颜色 1 16" xfId="4812"/>
    <cellStyle name="20% - 强调文字颜色 1 2" xfId="2714"/>
    <cellStyle name="20% - 强调文字颜色 1 2 2" xfId="2716"/>
    <cellStyle name="20% - 强调文字颜色 1 3" xfId="2727"/>
    <cellStyle name="20% - 强调文字颜色 1 4" xfId="1316"/>
    <cellStyle name="20% - 强调文字颜色 1 5" xfId="1321"/>
    <cellStyle name="20% - 强调文字颜色 1 6" xfId="2741"/>
    <cellStyle name="20% - 强调文字颜色 1 7" xfId="5574"/>
    <cellStyle name="20% - 强调文字颜色 1 8" xfId="5576"/>
    <cellStyle name="20% - 强调文字颜色 1 9" xfId="5577"/>
    <cellStyle name="20% - 强调文字颜色 2 10" xfId="5584"/>
    <cellStyle name="20% - 强调文字颜色 2 11" xfId="5508"/>
    <cellStyle name="20% - 强调文字颜色 2 12" xfId="5517"/>
    <cellStyle name="20% - 强调文字颜色 2 13" xfId="5593"/>
    <cellStyle name="20% - 强调文字颜色 2 14" xfId="5604"/>
    <cellStyle name="20% - 强调文字颜色 2 15" xfId="5608"/>
    <cellStyle name="20% - 强调文字颜色 2 16" xfId="5609"/>
    <cellStyle name="20% - 强调文字颜色 2 2" xfId="2752"/>
    <cellStyle name="20% - 强调文字颜色 2 2 2" xfId="5613"/>
    <cellStyle name="20% - 强调文字颜色 2 3" xfId="4039"/>
    <cellStyle name="20% - 强调文字颜色 2 4" xfId="1327"/>
    <cellStyle name="20% - 强调文字颜色 2 5" xfId="1334"/>
    <cellStyle name="20% - 强调文字颜色 2 6" xfId="5619"/>
    <cellStyle name="20% - 强调文字颜色 2 7" xfId="4189"/>
    <cellStyle name="20% - 强调文字颜色 2 8" xfId="4196"/>
    <cellStyle name="20% - 强调文字颜色 2 9" xfId="5623"/>
    <cellStyle name="20% - 强调文字颜色 3 10" xfId="5627"/>
    <cellStyle name="20% - 强调文字颜色 3 11" xfId="5630"/>
    <cellStyle name="20% - 强调文字颜色 3 12" xfId="5633"/>
    <cellStyle name="20% - 强调文字颜色 3 13" xfId="5639"/>
    <cellStyle name="20% - 强调文字颜色 3 14" xfId="5646"/>
    <cellStyle name="20% - 强调文字颜色 3 15" xfId="5650"/>
    <cellStyle name="20% - 强调文字颜色 3 16" xfId="5651"/>
    <cellStyle name="20% - 强调文字颜色 3 2" xfId="2772"/>
    <cellStyle name="20% - 强调文字颜色 3 2 2" xfId="2775"/>
    <cellStyle name="20% - 强调文字颜色 3 3" xfId="2787"/>
    <cellStyle name="20% - 强调文字颜色 3 4" xfId="1344"/>
    <cellStyle name="20% - 强调文字颜色 3 5" xfId="1351"/>
    <cellStyle name="20% - 强调文字颜色 3 6" xfId="2798"/>
    <cellStyle name="20% - 强调文字颜色 3 7" xfId="4201"/>
    <cellStyle name="20% - 强调文字颜色 3 8" xfId="4208"/>
    <cellStyle name="20% - 强调文字颜色 3 9" xfId="5657"/>
    <cellStyle name="20% - 强调文字颜色 4 10" xfId="5660"/>
    <cellStyle name="20% - 强调文字颜色 4 11" xfId="5667"/>
    <cellStyle name="20% - 强调文字颜色 4 12" xfId="3975"/>
    <cellStyle name="20% - 强调文字颜色 4 13" xfId="3988"/>
    <cellStyle name="20% - 强调文字颜色 4 14" xfId="5673"/>
    <cellStyle name="20% - 强调文字颜色 4 15" xfId="5684"/>
    <cellStyle name="20% - 强调文字颜色 4 16" xfId="5685"/>
    <cellStyle name="20% - 强调文字颜色 4 2" xfId="2815"/>
    <cellStyle name="20% - 强调文字颜色 4 2 2" xfId="3639"/>
    <cellStyle name="20% - 强调文字颜色 4 3" xfId="3647"/>
    <cellStyle name="20% - 强调文字颜色 4 4" xfId="3650"/>
    <cellStyle name="20% - 强调文字颜色 4 5" xfId="3653"/>
    <cellStyle name="20% - 强调文字颜色 4 6" xfId="3657"/>
    <cellStyle name="20% - 强调文字颜色 4 7" xfId="3665"/>
    <cellStyle name="20% - 强调文字颜色 4 8" xfId="3672"/>
    <cellStyle name="20% - 强调文字颜色 4 9" xfId="3677"/>
    <cellStyle name="20% - 强调文字颜色 5 10" xfId="5690"/>
    <cellStyle name="20% - 强调文字颜色 5 11" xfId="5693"/>
    <cellStyle name="20% - 强调文字颜色 5 12" xfId="4019"/>
    <cellStyle name="20% - 强调文字颜色 5 13" xfId="4025"/>
    <cellStyle name="20% - 强调文字颜色 5 14" xfId="148"/>
    <cellStyle name="20% - 强调文字颜色 5 15" xfId="5701"/>
    <cellStyle name="20% - 强调文字颜色 5 2" xfId="5704"/>
    <cellStyle name="20% - 强调文字颜色 5 2 2" xfId="4569"/>
    <cellStyle name="20% - 强调文字颜色 5 3" xfId="5705"/>
    <cellStyle name="20% - 强调文字颜色 5 4" xfId="5706"/>
    <cellStyle name="20% - 强调文字颜色 5 5" xfId="5707"/>
    <cellStyle name="20% - 强调文字颜色 5 6" xfId="5708"/>
    <cellStyle name="20% - 强调文字颜色 5 7" xfId="5710"/>
    <cellStyle name="20% - 强调文字颜色 5 8" xfId="5712"/>
    <cellStyle name="20% - 强调文字颜色 5 9" xfId="5713"/>
    <cellStyle name="20% - 强调文字颜色 6 10" xfId="5714"/>
    <cellStyle name="20% - 强调文字颜色 6 11" xfId="5716"/>
    <cellStyle name="20% - 强调文字颜色 6 12" xfId="5718"/>
    <cellStyle name="20% - 强调文字颜色 6 13" xfId="5719"/>
    <cellStyle name="20% - 强调文字颜色 6 14" xfId="5723"/>
    <cellStyle name="20% - 强调文字颜色 6 15" xfId="3034"/>
    <cellStyle name="20% - 强调文字颜色 6 2" xfId="5724"/>
    <cellStyle name="20% - 强调文字颜色 6 2 2" xfId="4662"/>
    <cellStyle name="20% - 强调文字颜色 6 3" xfId="5725"/>
    <cellStyle name="20% - 强调文字颜色 6 4" xfId="5726"/>
    <cellStyle name="20% - 强调文字颜色 6 5" xfId="5727"/>
    <cellStyle name="20% - 强调文字颜色 6 6" xfId="5728"/>
    <cellStyle name="20% - 强调文字颜色 6 7" xfId="5730"/>
    <cellStyle name="20% - 强调文字颜色 6 8" xfId="5732"/>
    <cellStyle name="20% - 强调文字颜色 6 9" xfId="5733"/>
    <cellStyle name="20% - 着色 3 2" xfId="5734"/>
    <cellStyle name="3h" xfId="1025"/>
    <cellStyle name="40% - 强调文字颜色 1 10" xfId="2614"/>
    <cellStyle name="40% - 强调文字颜色 1 11" xfId="2621"/>
    <cellStyle name="40% - 强调文字颜色 1 12" xfId="2629"/>
    <cellStyle name="40% - 强调文字颜色 1 13" xfId="2637"/>
    <cellStyle name="40% - 强调文字颜色 1 14" xfId="2644"/>
    <cellStyle name="40% - 强调文字颜色 1 15" xfId="2652"/>
    <cellStyle name="40% - 强调文字颜色 1 16" xfId="2661"/>
    <cellStyle name="40% - 强调文字颜色 1 2" xfId="5083"/>
    <cellStyle name="40% - 强调文字颜色 1 2 2" xfId="5739"/>
    <cellStyle name="40% - 强调文字颜色 1 3" xfId="5744"/>
    <cellStyle name="40% - 强调文字颜色 1 4" xfId="5746"/>
    <cellStyle name="40% - 强调文字颜色 1 5" xfId="5748"/>
    <cellStyle name="40% - 强调文字颜色 1 6" xfId="5749"/>
    <cellStyle name="40% - 强调文字颜色 1 7" xfId="5750"/>
    <cellStyle name="40% - 强调文字颜色 1 8" xfId="5751"/>
    <cellStyle name="40% - 强调文字颜色 1 9" xfId="5412"/>
    <cellStyle name="40% - 强调文字颜色 2 10" xfId="5755"/>
    <cellStyle name="40% - 强调文字颜色 2 11" xfId="5542"/>
    <cellStyle name="40% - 强调文字颜色 2 12" xfId="5548"/>
    <cellStyle name="40% - 强调文字颜色 2 13" xfId="5554"/>
    <cellStyle name="40% - 强调文字颜色 2 14" xfId="5563"/>
    <cellStyle name="40% - 强调文字颜色 2 15" xfId="5571"/>
    <cellStyle name="40% - 强调文字颜色 2 2" xfId="4124"/>
    <cellStyle name="40% - 强调文字颜色 2 2 2" xfId="5761"/>
    <cellStyle name="40% - 强调文字颜色 2 28" xfId="1901"/>
    <cellStyle name="40% - 强调文字颜色 2 3" xfId="4129"/>
    <cellStyle name="40% - 强调文字颜色 2 4" xfId="4132"/>
    <cellStyle name="40% - 强调文字颜色 2 5" xfId="4135"/>
    <cellStyle name="40% - 强调文字颜色 2 6" xfId="5764"/>
    <cellStyle name="40% - 强调文字颜色 2 7" xfId="5765"/>
    <cellStyle name="40% - 强调文字颜色 2 8" xfId="5767"/>
    <cellStyle name="40% - 强调文字颜色 2 9" xfId="5769"/>
    <cellStyle name="40% - 强调文字颜色 3 10" xfId="5774"/>
    <cellStyle name="40% - 强调文字颜色 3 11" xfId="5583"/>
    <cellStyle name="40% - 强调文字颜色 3 12" xfId="5507"/>
    <cellStyle name="40% - 强调文字颜色 3 13" xfId="5516"/>
    <cellStyle name="40% - 强调文字颜色 3 14" xfId="5592"/>
    <cellStyle name="40% - 强调文字颜色 3 15" xfId="5603"/>
    <cellStyle name="40% - 强调文字颜色 3 16" xfId="5607"/>
    <cellStyle name="40% - 强调文字颜色 3 2" xfId="5418"/>
    <cellStyle name="40% - 强调文字颜色 3 2 2" xfId="5424"/>
    <cellStyle name="40% - 强调文字颜色 3 3" xfId="5431"/>
    <cellStyle name="40% - 强调文字颜色 3 4" xfId="5441"/>
    <cellStyle name="40% - 强调文字颜色 3 5" xfId="5445"/>
    <cellStyle name="40% - 强调文字颜色 3 6" xfId="5448"/>
    <cellStyle name="40% - 强调文字颜色 3 7" xfId="5468"/>
    <cellStyle name="40% - 强调文字颜色 3 8" xfId="5472"/>
    <cellStyle name="40% - 强调文字颜色 3 9" xfId="5477"/>
    <cellStyle name="40% - 强调文字颜色 4 10" xfId="5778"/>
    <cellStyle name="40% - 强调文字颜色 4 11" xfId="5626"/>
    <cellStyle name="40% - 强调文字颜色 4 12" xfId="5629"/>
    <cellStyle name="40% - 强调文字颜色 4 13" xfId="5632"/>
    <cellStyle name="40% - 强调文字颜色 4 14" xfId="5638"/>
    <cellStyle name="40% - 强调文字颜色 4 15" xfId="5645"/>
    <cellStyle name="40% - 强调文字颜色 4 16" xfId="5649"/>
    <cellStyle name="40% - 强调文字颜色 4 2" xfId="5781"/>
    <cellStyle name="40% - 强调文字颜色 4 2 2" xfId="3628"/>
    <cellStyle name="40% - 强调文字颜色 4 3" xfId="5784"/>
    <cellStyle name="40% - 强调文字颜色 4 4" xfId="5788"/>
    <cellStyle name="40% - 强调文字颜色 4 5" xfId="5792"/>
    <cellStyle name="40% - 强调文字颜色 4 6" xfId="5794"/>
    <cellStyle name="40% - 强调文字颜色 4 7" xfId="5795"/>
    <cellStyle name="40% - 强调文字颜色 4 8" xfId="5797"/>
    <cellStyle name="40% - 强调文字颜色 4 9" xfId="3079"/>
    <cellStyle name="40% - 强调文字颜色 5 10" xfId="5800"/>
    <cellStyle name="40% - 强调文字颜色 5 11" xfId="5662"/>
    <cellStyle name="40% - 强调文字颜色 5 12" xfId="5669"/>
    <cellStyle name="40% - 强调文字颜色 5 13" xfId="3973"/>
    <cellStyle name="40% - 强调文字颜色 5 14" xfId="3984"/>
    <cellStyle name="40% - 强调文字颜色 5 15" xfId="5680"/>
    <cellStyle name="40% - 强调文字颜色 5 2" xfId="5803"/>
    <cellStyle name="40% - 强调文字颜色 5 2 2" xfId="5804"/>
    <cellStyle name="40% - 强调文字颜色 5 3" xfId="5811"/>
    <cellStyle name="40% - 强调文字颜色 5 4" xfId="5816"/>
    <cellStyle name="40% - 强调文字颜色 5 5" xfId="5821"/>
    <cellStyle name="40% - 强调文字颜色 5 6" xfId="2043"/>
    <cellStyle name="40% - 强调文字颜色 5 7" xfId="2051"/>
    <cellStyle name="40% - 强调文字颜色 5 8" xfId="5829"/>
    <cellStyle name="40% - 强调文字颜色 5 9" xfId="5835"/>
    <cellStyle name="40% - 强调文字颜色 6 10" xfId="5836"/>
    <cellStyle name="40% - 强调文字颜色 6 11" xfId="5688"/>
    <cellStyle name="40% - 强调文字颜色 6 12" xfId="5691"/>
    <cellStyle name="40% - 强调文字颜色 6 13" xfId="4021"/>
    <cellStyle name="40% - 强调文字颜色 6 14" xfId="4027"/>
    <cellStyle name="40% - 强调文字颜色 6 15" xfId="146"/>
    <cellStyle name="40% - 强调文字颜色 6 16" xfId="5700"/>
    <cellStyle name="40% - 强调文字颜色 6 2" xfId="5838"/>
    <cellStyle name="40% - 强调文字颜色 6 2 2" xfId="5839"/>
    <cellStyle name="40% - 强调文字颜色 6 3" xfId="5842"/>
    <cellStyle name="40% - 强调文字颜色 6 4" xfId="5844"/>
    <cellStyle name="40% - 强调文字颜色 6 5" xfId="5845"/>
    <cellStyle name="40% - 强调文字颜色 6 6" xfId="2063"/>
    <cellStyle name="40% - 强调文字颜色 6 7" xfId="2070"/>
    <cellStyle name="40% - 强调文字颜色 6 8" xfId="5846"/>
    <cellStyle name="40% - 强调文字颜色 6 9" xfId="5421"/>
    <cellStyle name="60% - 强调文字颜色 1 10" xfId="2266"/>
    <cellStyle name="60% - 强调文字颜色 1 11" xfId="2270"/>
    <cellStyle name="60% - 强调文字颜色 1 12" xfId="2276"/>
    <cellStyle name="60% - 强调文字颜色 1 13" xfId="2282"/>
    <cellStyle name="60% - 强调文字颜色 1 14" xfId="2288"/>
    <cellStyle name="60% - 强调文字颜色 1 15" xfId="2294"/>
    <cellStyle name="60% - 强调文字颜色 1 16" xfId="2300"/>
    <cellStyle name="60% - 强调文字颜色 1 2" xfId="5851"/>
    <cellStyle name="60% - 强调文字颜色 1 2 2" xfId="5855"/>
    <cellStyle name="60% - 强调文字颜色 1 3" xfId="4750"/>
    <cellStyle name="60% - 强调文字颜色 1 4" xfId="4755"/>
    <cellStyle name="60% - 强调文字颜色 1 5" xfId="5859"/>
    <cellStyle name="60% - 强调文字颜色 1 6" xfId="5863"/>
    <cellStyle name="60% - 强调文字颜色 1 7" xfId="5866"/>
    <cellStyle name="60% - 强调文字颜色 1 8" xfId="5869"/>
    <cellStyle name="60% - 强调文字颜色 1 9" xfId="5872"/>
    <cellStyle name="60% - 强调文字颜色 2 10" xfId="2610"/>
    <cellStyle name="60% - 强调文字颜色 2 11" xfId="2617"/>
    <cellStyle name="60% - 强调文字颜色 2 12" xfId="2625"/>
    <cellStyle name="60% - 强调文字颜色 2 13" xfId="2633"/>
    <cellStyle name="60% - 强调文字颜色 2 14" xfId="2640"/>
    <cellStyle name="60% - 强调文字颜色 2 15" xfId="2647"/>
    <cellStyle name="60% - 强调文字颜色 2 16" xfId="2656"/>
    <cellStyle name="60% - 强调文字颜色 2 2" xfId="1106"/>
    <cellStyle name="60% - 强调文字颜色 2 2 2" xfId="5874"/>
    <cellStyle name="60% - 强调文字颜色 2 3" xfId="39"/>
    <cellStyle name="60% - 强调文字颜色 2 4" xfId="5875"/>
    <cellStyle name="60% - 强调文字颜色 2 5" xfId="1246"/>
    <cellStyle name="60% - 强调文字颜色 2 6" xfId="1257"/>
    <cellStyle name="60% - 强调文字颜色 2 7" xfId="1285"/>
    <cellStyle name="60% - 强调文字颜色 2 8" xfId="534"/>
    <cellStyle name="60% - 强调文字颜色 2 9" xfId="1356"/>
    <cellStyle name="60% - 强调文字颜色 3 10" xfId="5654"/>
    <cellStyle name="60% - 强调文字颜色 3 11" xfId="5752"/>
    <cellStyle name="60% - 强调文字颜色 3 12" xfId="5539"/>
    <cellStyle name="60% - 强调文字颜色 3 13" xfId="5545"/>
    <cellStyle name="60% - 强调文字颜色 3 14" xfId="5551"/>
    <cellStyle name="60% - 强调文字颜色 3 15" xfId="5559"/>
    <cellStyle name="60% - 强调文字颜色 3 16" xfId="5566"/>
    <cellStyle name="60% - 强调文字颜色 3 2" xfId="1126"/>
    <cellStyle name="60% - 强调文字颜色 3 2 2" xfId="5882"/>
    <cellStyle name="60% - 强调文字颜色 3 3" xfId="2596"/>
    <cellStyle name="60% - 强调文字颜色 3 4" xfId="2600"/>
    <cellStyle name="60% - 强调文字颜色 3 5" xfId="4484"/>
    <cellStyle name="60% - 强调文字颜色 3 6" xfId="5883"/>
    <cellStyle name="60% - 强调文字颜色 3 7" xfId="5885"/>
    <cellStyle name="60% - 强调文字颜色 3 8" xfId="5888"/>
    <cellStyle name="60% - 强调文字颜色 3 9" xfId="5891"/>
    <cellStyle name="60% - 强调文字颜色 4 10" xfId="5895"/>
    <cellStyle name="60% - 强调文字颜色 4 11" xfId="5772"/>
    <cellStyle name="60% - 强调文字颜色 4 12" xfId="5581"/>
    <cellStyle name="60% - 强调文字颜色 4 13" xfId="5505"/>
    <cellStyle name="60% - 强调文字颜色 4 14" xfId="5513"/>
    <cellStyle name="60% - 强调文字颜色 4 15" xfId="5587"/>
    <cellStyle name="60% - 强调文字颜色 4 16" xfId="5596"/>
    <cellStyle name="60% - 强调文字颜色 4 2" xfId="5897"/>
    <cellStyle name="60% - 强调文字颜色 4 2 2" xfId="5843"/>
    <cellStyle name="60% - 强调文字颜色 4 3" xfId="5316"/>
    <cellStyle name="60% - 强调文字颜色 4 4" xfId="4576"/>
    <cellStyle name="60% - 强调文字颜色 4 5" xfId="4580"/>
    <cellStyle name="60% - 强调文字颜色 4 6" xfId="5900"/>
    <cellStyle name="60% - 强调文字颜色 4 7" xfId="5901"/>
    <cellStyle name="60% - 强调文字颜色 4 8" xfId="5902"/>
    <cellStyle name="60% - 强调文字颜色 4 9" xfId="5903"/>
    <cellStyle name="60% - 强调文字颜色 5 10" xfId="2721"/>
    <cellStyle name="60% - 强调文字颜色 5 11" xfId="5777"/>
    <cellStyle name="60% - 强调文字颜色 5 12" xfId="5625"/>
    <cellStyle name="60% - 强调文字颜色 5 13" xfId="5628"/>
    <cellStyle name="60% - 强调文字颜色 5 14" xfId="5631"/>
    <cellStyle name="60% - 强调文字颜色 5 15" xfId="5635"/>
    <cellStyle name="60% - 强调文字颜色 5 16" xfId="5640"/>
    <cellStyle name="60% - 强调文字颜色 5 2" xfId="4988"/>
    <cellStyle name="60% - 强调文字颜色 5 2 2" xfId="3542"/>
    <cellStyle name="60% - 强调文字颜色 5 3" xfId="4992"/>
    <cellStyle name="60% - 强调文字颜色 5 4" xfId="4998"/>
    <cellStyle name="60% - 强调文字颜色 5 5" xfId="5008"/>
    <cellStyle name="60% - 强调文字颜色 5 6" xfId="5904"/>
    <cellStyle name="60% - 强调文字颜色 5 7" xfId="5905"/>
    <cellStyle name="60% - 强调文字颜色 5 8" xfId="5906"/>
    <cellStyle name="60% - 强调文字颜色 5 9" xfId="5907"/>
    <cellStyle name="60% - 强调文字颜色 6 10" xfId="1087"/>
    <cellStyle name="60% - 强调文字颜色 6 11" xfId="5799"/>
    <cellStyle name="60% - 强调文字颜色 6 12" xfId="5661"/>
    <cellStyle name="60% - 强调文字颜色 6 13" xfId="5668"/>
    <cellStyle name="60% - 强调文字颜色 6 14" xfId="3974"/>
    <cellStyle name="60% - 强调文字颜色 6 15" xfId="3987"/>
    <cellStyle name="60% - 强调文字颜色 6 16" xfId="5674"/>
    <cellStyle name="60% - 强调文字颜色 6 2" xfId="5031"/>
    <cellStyle name="60% - 强调文字颜色 6 2 2" xfId="5036"/>
    <cellStyle name="60% - 强调文字颜色 6 3" xfId="4769"/>
    <cellStyle name="60% - 强调文字颜色 6 4" xfId="4773"/>
    <cellStyle name="60% - 强调文字颜色 6 5" xfId="5047"/>
    <cellStyle name="60% - 强调文字颜色 6 6" xfId="5908"/>
    <cellStyle name="60% - 强调文字颜色 6 7" xfId="5911"/>
    <cellStyle name="60% - 强调文字颜色 6 8" xfId="5914"/>
    <cellStyle name="60% - 强调文字颜色 6 9" xfId="5917"/>
    <cellStyle name="6mal" xfId="5920"/>
    <cellStyle name="6mal 10" xfId="5922"/>
    <cellStyle name="6mal 10 2" xfId="5923"/>
    <cellStyle name="6mal 10 3" xfId="4291"/>
    <cellStyle name="6mal 11" xfId="5854"/>
    <cellStyle name="6mal 12" xfId="5924"/>
    <cellStyle name="6mal 13" xfId="5925"/>
    <cellStyle name="6mal 14" xfId="5927"/>
    <cellStyle name="6mal 14 2" xfId="4634"/>
    <cellStyle name="6mal 14 3" xfId="4646"/>
    <cellStyle name="6mal 15" xfId="3184"/>
    <cellStyle name="6mal 16" xfId="3189"/>
    <cellStyle name="6mal 17" xfId="5932"/>
    <cellStyle name="6mal 18" xfId="5936"/>
    <cellStyle name="6mal 19" xfId="5940"/>
    <cellStyle name="6mal 2" xfId="5942"/>
    <cellStyle name="6mal 2 10" xfId="4071"/>
    <cellStyle name="6mal 2 10 2" xfId="5943"/>
    <cellStyle name="6mal 2 10 3" xfId="5944"/>
    <cellStyle name="6mal 2 2" xfId="5950"/>
    <cellStyle name="6mal 2 2 2" xfId="5193"/>
    <cellStyle name="6mal 2 2 3" xfId="5195"/>
    <cellStyle name="6mal 2 3" xfId="103"/>
    <cellStyle name="6mal 2 3 2" xfId="5953"/>
    <cellStyle name="6mal 2 3 3" xfId="5954"/>
    <cellStyle name="6mal 2 4" xfId="4653"/>
    <cellStyle name="6mal 2 4 2" xfId="5955"/>
    <cellStyle name="6mal 2 4 3" xfId="5956"/>
    <cellStyle name="6mal 2 5" xfId="4661"/>
    <cellStyle name="6mal 2 5 2" xfId="4811"/>
    <cellStyle name="6mal 2 5 3" xfId="4831"/>
    <cellStyle name="6mal 2 6" xfId="5961"/>
    <cellStyle name="6mal 2 6 2" xfId="5962"/>
    <cellStyle name="6mal 2 6 3" xfId="5963"/>
    <cellStyle name="6mal 2 7" xfId="5968"/>
    <cellStyle name="6mal 2 7 2" xfId="5460"/>
    <cellStyle name="6mal 2 7 3" xfId="5463"/>
    <cellStyle name="6mal 2 8" xfId="5969"/>
    <cellStyle name="6mal 2 8 2" xfId="5494"/>
    <cellStyle name="6mal 2 8 3" xfId="5496"/>
    <cellStyle name="6mal 2 9" xfId="5970"/>
    <cellStyle name="6mal 2 9 2" xfId="5972"/>
    <cellStyle name="6mal 2 9 3" xfId="5973"/>
    <cellStyle name="6mal 20" xfId="3185"/>
    <cellStyle name="6mal 21" xfId="3190"/>
    <cellStyle name="6mal 22" xfId="5931"/>
    <cellStyle name="6mal 3" xfId="5976"/>
    <cellStyle name="6mal 3 10" xfId="5977"/>
    <cellStyle name="6mal 3 10 2" xfId="5352"/>
    <cellStyle name="6mal 3 10 3" xfId="5979"/>
    <cellStyle name="6mal 3 2" xfId="5980"/>
    <cellStyle name="6mal 3 2 2" xfId="5983"/>
    <cellStyle name="6mal 3 2 3" xfId="5984"/>
    <cellStyle name="6mal 3 3" xfId="5985"/>
    <cellStyle name="6mal 3 3 2" xfId="5988"/>
    <cellStyle name="6mal 3 3 3" xfId="5989"/>
    <cellStyle name="6mal 3 4" xfId="4669"/>
    <cellStyle name="6mal 3 4 2" xfId="5990"/>
    <cellStyle name="6mal 3 4 3" xfId="5991"/>
    <cellStyle name="6mal 3 5" xfId="4674"/>
    <cellStyle name="6mal 3 5 2" xfId="3040"/>
    <cellStyle name="6mal 3 5 3" xfId="5992"/>
    <cellStyle name="6mal 3 6" xfId="5993"/>
    <cellStyle name="6mal 3 6 2" xfId="5994"/>
    <cellStyle name="6mal 3 6 3" xfId="5995"/>
    <cellStyle name="6mal 3 7" xfId="5996"/>
    <cellStyle name="6mal 3 7 2" xfId="5997"/>
    <cellStyle name="6mal 3 7 3" xfId="5998"/>
    <cellStyle name="6mal 3 8" xfId="125"/>
    <cellStyle name="6mal 3 8 2" xfId="5999"/>
    <cellStyle name="6mal 3 8 3" xfId="6000"/>
    <cellStyle name="6mal 3 9" xfId="6001"/>
    <cellStyle name="6mal 3 9 2" xfId="3069"/>
    <cellStyle name="6mal 3 9 3" xfId="6002"/>
    <cellStyle name="6mal 4" xfId="6005"/>
    <cellStyle name="6mal 4 2" xfId="6006"/>
    <cellStyle name="6mal 4 3" xfId="6009"/>
    <cellStyle name="6mal 5" xfId="1579"/>
    <cellStyle name="6mal 6" xfId="1587"/>
    <cellStyle name="6mal 7" xfId="6014"/>
    <cellStyle name="6mal 7 2" xfId="1180"/>
    <cellStyle name="6mal 7 3" xfId="1186"/>
    <cellStyle name="6mal 8" xfId="6020"/>
    <cellStyle name="6mal 9" xfId="6026"/>
    <cellStyle name="6mal 9 2" xfId="6029"/>
    <cellStyle name="6mal 9 3" xfId="6032"/>
    <cellStyle name="args.style" xfId="2806"/>
    <cellStyle name="args.style 10" xfId="6035"/>
    <cellStyle name="args.style 10 2" xfId="6037"/>
    <cellStyle name="args.style 10 3" xfId="6040"/>
    <cellStyle name="args.style 11" xfId="6042"/>
    <cellStyle name="args.style 12" xfId="6043"/>
    <cellStyle name="args.style 13" xfId="1088"/>
    <cellStyle name="args.style 14" xfId="5798"/>
    <cellStyle name="args.style 14 2" xfId="5281"/>
    <cellStyle name="args.style 14 3" xfId="5285"/>
    <cellStyle name="args.style 15" xfId="5659"/>
    <cellStyle name="args.style 16" xfId="5666"/>
    <cellStyle name="args.style 17" xfId="3976"/>
    <cellStyle name="args.style 18" xfId="3989"/>
    <cellStyle name="args.style 19" xfId="5672"/>
    <cellStyle name="args.style 2" xfId="2810"/>
    <cellStyle name="args.style 2 10" xfId="3153"/>
    <cellStyle name="args.style 2 10 2" xfId="6048"/>
    <cellStyle name="args.style 2 10 3" xfId="6055"/>
    <cellStyle name="args.style 2 2" xfId="4265"/>
    <cellStyle name="args.style 2 2 2" xfId="4270"/>
    <cellStyle name="args.style 2 2 3" xfId="4276"/>
    <cellStyle name="args.style 2 3" xfId="4278"/>
    <cellStyle name="args.style 2 3 2" xfId="4280"/>
    <cellStyle name="args.style 2 3 3" xfId="4285"/>
    <cellStyle name="args.style 2 4" xfId="4287"/>
    <cellStyle name="args.style 2 4 2" xfId="4290"/>
    <cellStyle name="args.style 2 4 3" xfId="4293"/>
    <cellStyle name="args.style 2 5" xfId="2887"/>
    <cellStyle name="args.style 2 5 2" xfId="4296"/>
    <cellStyle name="args.style 2 5 3" xfId="4298"/>
    <cellStyle name="args.style 2 6" xfId="2892"/>
    <cellStyle name="args.style 2 6 2" xfId="4300"/>
    <cellStyle name="args.style 2 6 3" xfId="4305"/>
    <cellStyle name="args.style 2 7" xfId="4308"/>
    <cellStyle name="args.style 2 7 2" xfId="4310"/>
    <cellStyle name="args.style 2 7 3" xfId="4319"/>
    <cellStyle name="args.style 2 8" xfId="6058"/>
    <cellStyle name="args.style 2 8 2" xfId="4645"/>
    <cellStyle name="args.style 2 8 3" xfId="4667"/>
    <cellStyle name="args.style 2 9" xfId="6060"/>
    <cellStyle name="args.style 2 9 2" xfId="4734"/>
    <cellStyle name="args.style 2 9 3" xfId="4737"/>
    <cellStyle name="args.style 20" xfId="5658"/>
    <cellStyle name="args.style 21" xfId="5665"/>
    <cellStyle name="args.style 22" xfId="3977"/>
    <cellStyle name="args.style 3" xfId="2816"/>
    <cellStyle name="args.style 3 10" xfId="2604"/>
    <cellStyle name="args.style 3 10 2" xfId="1661"/>
    <cellStyle name="args.style 3 10 3" xfId="1675"/>
    <cellStyle name="args.style 3 2" xfId="3640"/>
    <cellStyle name="args.style 3 2 2" xfId="728"/>
    <cellStyle name="args.style 3 2 3" xfId="4350"/>
    <cellStyle name="args.style 3 3" xfId="3643"/>
    <cellStyle name="args.style 3 3 2" xfId="4352"/>
    <cellStyle name="args.style 3 3 3" xfId="4356"/>
    <cellStyle name="args.style 3 4" xfId="4358"/>
    <cellStyle name="args.style 3 4 2" xfId="2232"/>
    <cellStyle name="args.style 3 4 3" xfId="2241"/>
    <cellStyle name="args.style 3 5" xfId="2899"/>
    <cellStyle name="args.style 3 5 2" xfId="4362"/>
    <cellStyle name="args.style 3 5 3" xfId="4364"/>
    <cellStyle name="args.style 3 6" xfId="2904"/>
    <cellStyle name="args.style 3 6 2" xfId="4366"/>
    <cellStyle name="args.style 3 6 3" xfId="4371"/>
    <cellStyle name="args.style 3 7" xfId="4375"/>
    <cellStyle name="args.style 3 7 2" xfId="4377"/>
    <cellStyle name="args.style 3 7 3" xfId="4385"/>
    <cellStyle name="args.style 3 8" xfId="6062"/>
    <cellStyle name="args.style 3 8 2" xfId="3159"/>
    <cellStyle name="args.style 3 8 3" xfId="5053"/>
    <cellStyle name="args.style 3 9" xfId="6064"/>
    <cellStyle name="args.style 3 9 2" xfId="3231"/>
    <cellStyle name="args.style 3 9 3" xfId="6067"/>
    <cellStyle name="args.style 4" xfId="3648"/>
    <cellStyle name="args.style 4 2" xfId="4407"/>
    <cellStyle name="args.style 4 3" xfId="4419"/>
    <cellStyle name="args.style 5" xfId="3651"/>
    <cellStyle name="args.style 6" xfId="3654"/>
    <cellStyle name="args.style 7" xfId="3658"/>
    <cellStyle name="args.style 7 2" xfId="3293"/>
    <cellStyle name="args.style 7 3" xfId="3310"/>
    <cellStyle name="args.style 8" xfId="3666"/>
    <cellStyle name="args.style 9" xfId="3673"/>
    <cellStyle name="args.style 9 2" xfId="6070"/>
    <cellStyle name="args.style 9 3" xfId="6073"/>
    <cellStyle name="BRC成本管理中心" xfId="6077"/>
    <cellStyle name="Calc Currency (0)" xfId="2965"/>
    <cellStyle name="Calc Currency (0) 10" xfId="4489"/>
    <cellStyle name="Calc Currency (0) 10 2" xfId="4997"/>
    <cellStyle name="Calc Currency (0) 10 3" xfId="5007"/>
    <cellStyle name="Calc Currency (0) 11" xfId="4492"/>
    <cellStyle name="Calc Currency (0) 12" xfId="567"/>
    <cellStyle name="Calc Currency (0) 13" xfId="575"/>
    <cellStyle name="Calc Currency (0) 14" xfId="6080"/>
    <cellStyle name="Calc Currency (0) 15" xfId="6083"/>
    <cellStyle name="Calc Currency (0) 15 2" xfId="3746"/>
    <cellStyle name="Calc Currency (0) 15 3" xfId="6088"/>
    <cellStyle name="Calc Currency (0) 16" xfId="6092"/>
    <cellStyle name="Calc Currency (0) 16 2" xfId="3765"/>
    <cellStyle name="Calc Currency (0) 16 3" xfId="4915"/>
    <cellStyle name="Calc Currency (0) 17" xfId="6096"/>
    <cellStyle name="Calc Currency (0) 18" xfId="6100"/>
    <cellStyle name="Calc Currency (0) 19" xfId="6104"/>
    <cellStyle name="Calc Currency (0) 2" xfId="5929"/>
    <cellStyle name="Calc Currency (0) 2 10" xfId="6106"/>
    <cellStyle name="Calc Currency (0) 2 2" xfId="4633"/>
    <cellStyle name="Calc Currency (0) 2 3" xfId="4644"/>
    <cellStyle name="Calc Currency (0) 2 4" xfId="4666"/>
    <cellStyle name="Calc Currency (0) 2 5" xfId="6107"/>
    <cellStyle name="Calc Currency (0) 2 6" xfId="6108"/>
    <cellStyle name="Calc Currency (0) 2 7" xfId="6109"/>
    <cellStyle name="Calc Currency (0) 2 8" xfId="6111"/>
    <cellStyle name="Calc Currency (0) 2 9" xfId="6113"/>
    <cellStyle name="Calc Currency (0) 20" xfId="6082"/>
    <cellStyle name="Calc Currency (0) 21" xfId="6091"/>
    <cellStyle name="Calc Currency (0) 21 2" xfId="3766"/>
    <cellStyle name="Calc Currency (0) 21 3" xfId="4914"/>
    <cellStyle name="Calc Currency (0) 22" xfId="6095"/>
    <cellStyle name="Calc Currency (0) 23" xfId="6099"/>
    <cellStyle name="Calc Currency (0) 24" xfId="6103"/>
    <cellStyle name="Calc Currency (0) 25" xfId="6114"/>
    <cellStyle name="Calc Currency (0) 26" xfId="6115"/>
    <cellStyle name="Calc Currency (0) 27" xfId="6116"/>
    <cellStyle name="Calc Currency (0) 28" xfId="6119"/>
    <cellStyle name="Calc Currency (0) 29" xfId="4217"/>
    <cellStyle name="Calc Currency (0) 3" xfId="3186"/>
    <cellStyle name="Calc Currency (0) 3 10" xfId="1469"/>
    <cellStyle name="Calc Currency (0) 3 2" xfId="4730"/>
    <cellStyle name="Calc Currency (0) 3 3" xfId="4733"/>
    <cellStyle name="Calc Currency (0) 3 4" xfId="4736"/>
    <cellStyle name="Calc Currency (0) 3 5" xfId="6122"/>
    <cellStyle name="Calc Currency (0) 3 6" xfId="6123"/>
    <cellStyle name="Calc Currency (0) 3 7" xfId="6128"/>
    <cellStyle name="Calc Currency (0) 3 8" xfId="6133"/>
    <cellStyle name="Calc Currency (0) 3 9" xfId="6136"/>
    <cellStyle name="Calc Currency (0) 4" xfId="3191"/>
    <cellStyle name="Calc Currency (0) 5" xfId="5930"/>
    <cellStyle name="Calc Currency (0) 5 2" xfId="6139"/>
    <cellStyle name="Calc Currency (0) 5 3" xfId="6142"/>
    <cellStyle name="Calc Currency (0) 6" xfId="5934"/>
    <cellStyle name="Calc Currency (0) 6 2" xfId="57"/>
    <cellStyle name="Calc Currency (0) 6 3" xfId="5059"/>
    <cellStyle name="Calc Currency (0) 7" xfId="5938"/>
    <cellStyle name="Calc Currency (0) 7 2" xfId="4912"/>
    <cellStyle name="Calc Currency (0) 7 3" xfId="6145"/>
    <cellStyle name="Calc Currency (0) 8" xfId="6149"/>
    <cellStyle name="Calc Currency (0) 9" xfId="1237"/>
    <cellStyle name="ColLevel_0" xfId="5926"/>
    <cellStyle name="Comma [0]" xfId="6151"/>
    <cellStyle name="Comma [0] 2" xfId="2226"/>
    <cellStyle name="Comma [0] 3" xfId="6156"/>
    <cellStyle name="Comma [0] 4" xfId="6157"/>
    <cellStyle name="Comma [0] 5" xfId="6158"/>
    <cellStyle name="Comma [0] 6" xfId="4058"/>
    <cellStyle name="Comma [0] 7" xfId="4060"/>
    <cellStyle name="Comma [0] 8" xfId="6159"/>
    <cellStyle name="Comma [0]_!!!GO" xfId="6160"/>
    <cellStyle name="comma zerodec" xfId="1063"/>
    <cellStyle name="comma zerodec 10" xfId="6167"/>
    <cellStyle name="comma zerodec 10 2" xfId="916"/>
    <cellStyle name="comma zerodec 10 3" xfId="6168"/>
    <cellStyle name="comma zerodec 11" xfId="6170"/>
    <cellStyle name="comma zerodec 12" xfId="2776"/>
    <cellStyle name="comma zerodec 13" xfId="2779"/>
    <cellStyle name="comma zerodec 14" xfId="4345"/>
    <cellStyle name="comma zerodec 14 2" xfId="6171"/>
    <cellStyle name="comma zerodec 14 3" xfId="6172"/>
    <cellStyle name="comma zerodec 15" xfId="4348"/>
    <cellStyle name="comma zerodec 16" xfId="6174"/>
    <cellStyle name="comma zerodec 17" xfId="6177"/>
    <cellStyle name="comma zerodec 18" xfId="6179"/>
    <cellStyle name="comma zerodec 19" xfId="6180"/>
    <cellStyle name="comma zerodec 2" xfId="6183"/>
    <cellStyle name="comma zerodec 2 10" xfId="6185"/>
    <cellStyle name="comma zerodec 2 10 2" xfId="1700"/>
    <cellStyle name="comma zerodec 2 10 3" xfId="1705"/>
    <cellStyle name="comma zerodec 2 2" xfId="6187"/>
    <cellStyle name="comma zerodec 2 2 2" xfId="6188"/>
    <cellStyle name="comma zerodec 2 2 3" xfId="6192"/>
    <cellStyle name="comma zerodec 2 3" xfId="6196"/>
    <cellStyle name="comma zerodec 2 3 2" xfId="736"/>
    <cellStyle name="comma zerodec 2 3 3" xfId="746"/>
    <cellStyle name="comma zerodec 2 4" xfId="6197"/>
    <cellStyle name="comma zerodec 2 4 2" xfId="6200"/>
    <cellStyle name="comma zerodec 2 4 3" xfId="6203"/>
    <cellStyle name="comma zerodec 2 5" xfId="3410"/>
    <cellStyle name="comma zerodec 2 5 2" xfId="3417"/>
    <cellStyle name="comma zerodec 2 5 3" xfId="3424"/>
    <cellStyle name="comma zerodec 2 6" xfId="3428"/>
    <cellStyle name="comma zerodec 2 6 2" xfId="6206"/>
    <cellStyle name="comma zerodec 2 6 3" xfId="6214"/>
    <cellStyle name="comma zerodec 2 7" xfId="3432"/>
    <cellStyle name="comma zerodec 2 7 2" xfId="6222"/>
    <cellStyle name="comma zerodec 2 7 3" xfId="6225"/>
    <cellStyle name="comma zerodec 2 8" xfId="3436"/>
    <cellStyle name="comma zerodec 2 8 2" xfId="6228"/>
    <cellStyle name="comma zerodec 2 8 3" xfId="6231"/>
    <cellStyle name="comma zerodec 2 9" xfId="3440"/>
    <cellStyle name="comma zerodec 2 9 2" xfId="6235"/>
    <cellStyle name="comma zerodec 2 9 3" xfId="6241"/>
    <cellStyle name="comma zerodec 20" xfId="4347"/>
    <cellStyle name="comma zerodec 21" xfId="6173"/>
    <cellStyle name="comma zerodec 22" xfId="6176"/>
    <cellStyle name="comma zerodec 3" xfId="6246"/>
    <cellStyle name="comma zerodec 3 10" xfId="6251"/>
    <cellStyle name="comma zerodec 3 10 2" xfId="6253"/>
    <cellStyle name="comma zerodec 3 10 3" xfId="6254"/>
    <cellStyle name="comma zerodec 3 2" xfId="6256"/>
    <cellStyle name="comma zerodec 3 2 2" xfId="6257"/>
    <cellStyle name="comma zerodec 3 2 3" xfId="6259"/>
    <cellStyle name="comma zerodec 3 3" xfId="6262"/>
    <cellStyle name="comma zerodec 3 3 2" xfId="6263"/>
    <cellStyle name="comma zerodec 3 3 3" xfId="6265"/>
    <cellStyle name="comma zerodec 3 4" xfId="6267"/>
    <cellStyle name="comma zerodec 3 4 2" xfId="6268"/>
    <cellStyle name="comma zerodec 3 4 3" xfId="6269"/>
    <cellStyle name="comma zerodec 3 5" xfId="6270"/>
    <cellStyle name="comma zerodec 3 5 2" xfId="896"/>
    <cellStyle name="comma zerodec 3 5 3" xfId="905"/>
    <cellStyle name="comma zerodec 3 6" xfId="6271"/>
    <cellStyle name="comma zerodec 3 6 2" xfId="6272"/>
    <cellStyle name="comma zerodec 3 6 3" xfId="6277"/>
    <cellStyle name="comma zerodec 3 7" xfId="6282"/>
    <cellStyle name="comma zerodec 3 7 2" xfId="6283"/>
    <cellStyle name="comma zerodec 3 7 3" xfId="6284"/>
    <cellStyle name="comma zerodec 3 8" xfId="6285"/>
    <cellStyle name="comma zerodec 3 8 2" xfId="6286"/>
    <cellStyle name="comma zerodec 3 8 3" xfId="6287"/>
    <cellStyle name="comma zerodec 3 9" xfId="6288"/>
    <cellStyle name="comma zerodec 3 9 2" xfId="6289"/>
    <cellStyle name="comma zerodec 3 9 3" xfId="6291"/>
    <cellStyle name="comma zerodec 4" xfId="5757"/>
    <cellStyle name="comma zerodec 4 2" xfId="6294"/>
    <cellStyle name="comma zerodec 4 3" xfId="6295"/>
    <cellStyle name="comma zerodec 5" xfId="6296"/>
    <cellStyle name="comma zerodec 6" xfId="6300"/>
    <cellStyle name="comma zerodec 7" xfId="6303"/>
    <cellStyle name="comma zerodec 7 2" xfId="6307"/>
    <cellStyle name="comma zerodec 7 3" xfId="6311"/>
    <cellStyle name="comma zerodec 8" xfId="6314"/>
    <cellStyle name="comma zerodec 9" xfId="2717"/>
    <cellStyle name="comma zerodec 9 2" xfId="6320"/>
    <cellStyle name="comma zerodec 9 3" xfId="6321"/>
    <cellStyle name="Comma_!!!GO" xfId="6322"/>
    <cellStyle name="Copied" xfId="1934"/>
    <cellStyle name="Copied 10" xfId="598"/>
    <cellStyle name="Copied 10 2" xfId="6324"/>
    <cellStyle name="Copied 10 3" xfId="6327"/>
    <cellStyle name="Copied 11" xfId="235"/>
    <cellStyle name="Copied 12" xfId="1165"/>
    <cellStyle name="Copied 13" xfId="1176"/>
    <cellStyle name="Copied 14" xfId="1182"/>
    <cellStyle name="Copied 15" xfId="1188"/>
    <cellStyle name="Copied 15 2" xfId="6328"/>
    <cellStyle name="Copied 15 3" xfId="5921"/>
    <cellStyle name="Copied 16" xfId="1196"/>
    <cellStyle name="Copied 16 2" xfId="6333"/>
    <cellStyle name="Copied 16 3" xfId="6339"/>
    <cellStyle name="Copied 17" xfId="1204"/>
    <cellStyle name="Copied 18" xfId="6341"/>
    <cellStyle name="Copied 19" xfId="6346"/>
    <cellStyle name="Copied 2" xfId="6348"/>
    <cellStyle name="Copied 2 10" xfId="224"/>
    <cellStyle name="Copied 2 2" xfId="935"/>
    <cellStyle name="Copied 2 3" xfId="940"/>
    <cellStyle name="Copied 2 4" xfId="946"/>
    <cellStyle name="Copied 2 5" xfId="955"/>
    <cellStyle name="Copied 2 6" xfId="965"/>
    <cellStyle name="Copied 2 7" xfId="970"/>
    <cellStyle name="Copied 2 8" xfId="978"/>
    <cellStyle name="Copied 2 9" xfId="1026"/>
    <cellStyle name="Copied 20" xfId="1189"/>
    <cellStyle name="Copied 21" xfId="1197"/>
    <cellStyle name="Copied 21 2" xfId="6332"/>
    <cellStyle name="Copied 21 3" xfId="6338"/>
    <cellStyle name="Copied 22" xfId="1205"/>
    <cellStyle name="Copied 23" xfId="6340"/>
    <cellStyle name="Copied 24" xfId="6345"/>
    <cellStyle name="Copied 25" xfId="6353"/>
    <cellStyle name="Copied 26" xfId="6356"/>
    <cellStyle name="Copied 27" xfId="6358"/>
    <cellStyle name="Copied 28" xfId="6360"/>
    <cellStyle name="Copied 29" xfId="6362"/>
    <cellStyle name="Copied 3" xfId="6363"/>
    <cellStyle name="Copied 3 10" xfId="6365"/>
    <cellStyle name="Copied 3 2" xfId="4797"/>
    <cellStyle name="Copied 3 3" xfId="6366"/>
    <cellStyle name="Copied 3 4" xfId="5214"/>
    <cellStyle name="Copied 3 5" xfId="5222"/>
    <cellStyle name="Copied 3 6" xfId="5227"/>
    <cellStyle name="Copied 3 7" xfId="5232"/>
    <cellStyle name="Copied 3 8" xfId="5235"/>
    <cellStyle name="Copied 3 9" xfId="5238"/>
    <cellStyle name="Copied 4" xfId="6369"/>
    <cellStyle name="Copied 5" xfId="6371"/>
    <cellStyle name="Copied 5 2" xfId="4960"/>
    <cellStyle name="Copied 5 3" xfId="6373"/>
    <cellStyle name="Copied 6" xfId="6374"/>
    <cellStyle name="Copied 6 2" xfId="4966"/>
    <cellStyle name="Copied 6 3" xfId="4583"/>
    <cellStyle name="Copied 7" xfId="6375"/>
    <cellStyle name="Copied 7 2" xfId="4976"/>
    <cellStyle name="Copied 7 3" xfId="6105"/>
    <cellStyle name="Copied 8" xfId="6376"/>
    <cellStyle name="Copied 9" xfId="6377"/>
    <cellStyle name="Currency [0]_!!!GO" xfId="6381"/>
    <cellStyle name="Currency_!!!GO" xfId="6382"/>
    <cellStyle name="Currency1" xfId="2851"/>
    <cellStyle name="Currency1 10" xfId="6384"/>
    <cellStyle name="Currency1 10 2" xfId="452"/>
    <cellStyle name="Currency1 10 3" xfId="6388"/>
    <cellStyle name="Currency1 11" xfId="6389"/>
    <cellStyle name="Currency1 12" xfId="6393"/>
    <cellStyle name="Currency1 13" xfId="5878"/>
    <cellStyle name="Currency1 14" xfId="6397"/>
    <cellStyle name="Currency1 14 2" xfId="6401"/>
    <cellStyle name="Currency1 14 3" xfId="6404"/>
    <cellStyle name="Currency1 15" xfId="6407"/>
    <cellStyle name="Currency1 16" xfId="6182"/>
    <cellStyle name="Currency1 17" xfId="6250"/>
    <cellStyle name="Currency1 18" xfId="5760"/>
    <cellStyle name="Currency1 19" xfId="6299"/>
    <cellStyle name="Currency1 2" xfId="6410"/>
    <cellStyle name="Currency1 2 10" xfId="6412"/>
    <cellStyle name="Currency1 2 10 2" xfId="6413"/>
    <cellStyle name="Currency1 2 10 3" xfId="6414"/>
    <cellStyle name="Currency1 2 2" xfId="6416"/>
    <cellStyle name="Currency1 2 2 2" xfId="6420"/>
    <cellStyle name="Currency1 2 2 3" xfId="3028"/>
    <cellStyle name="Currency1 2 3" xfId="6422"/>
    <cellStyle name="Currency1 2 3 2" xfId="6423"/>
    <cellStyle name="Currency1 2 3 3" xfId="6424"/>
    <cellStyle name="Currency1 2 4" xfId="6426"/>
    <cellStyle name="Currency1 2 4 2" xfId="3787"/>
    <cellStyle name="Currency1 2 4 3" xfId="3807"/>
    <cellStyle name="Currency1 2 5" xfId="6429"/>
    <cellStyle name="Currency1 2 5 2" xfId="3932"/>
    <cellStyle name="Currency1 2 5 3" xfId="3954"/>
    <cellStyle name="Currency1 2 6" xfId="6432"/>
    <cellStyle name="Currency1 2 6 2" xfId="6433"/>
    <cellStyle name="Currency1 2 6 3" xfId="3090"/>
    <cellStyle name="Currency1 2 7" xfId="5537"/>
    <cellStyle name="Currency1 2 7 2" xfId="6437"/>
    <cellStyle name="Currency1 2 7 3" xfId="6440"/>
    <cellStyle name="Currency1 2 8" xfId="6445"/>
    <cellStyle name="Currency1 2 8 2" xfId="6448"/>
    <cellStyle name="Currency1 2 8 3" xfId="6453"/>
    <cellStyle name="Currency1 2 9" xfId="6455"/>
    <cellStyle name="Currency1 2 9 2" xfId="5118"/>
    <cellStyle name="Currency1 2 9 3" xfId="5121"/>
    <cellStyle name="Currency1 20" xfId="6406"/>
    <cellStyle name="Currency1 21" xfId="6181"/>
    <cellStyle name="Currency1 22" xfId="6249"/>
    <cellStyle name="Currency1 3" xfId="6461"/>
    <cellStyle name="Currency1 3 10" xfId="6464"/>
    <cellStyle name="Currency1 3 10 2" xfId="6465"/>
    <cellStyle name="Currency1 3 10 3" xfId="6466"/>
    <cellStyle name="Currency1 3 2" xfId="6469"/>
    <cellStyle name="Currency1 3 2 2" xfId="6475"/>
    <cellStyle name="Currency1 3 2 3" xfId="6481"/>
    <cellStyle name="Currency1 3 3" xfId="233"/>
    <cellStyle name="Currency1 3 3 2" xfId="6482"/>
    <cellStyle name="Currency1 3 3 3" xfId="6483"/>
    <cellStyle name="Currency1 3 4" xfId="6486"/>
    <cellStyle name="Currency1 3 4 2" xfId="6487"/>
    <cellStyle name="Currency1 3 4 3" xfId="6488"/>
    <cellStyle name="Currency1 3 5" xfId="6491"/>
    <cellStyle name="Currency1 3 5 2" xfId="6492"/>
    <cellStyle name="Currency1 3 5 3" xfId="6494"/>
    <cellStyle name="Currency1 3 6" xfId="6498"/>
    <cellStyle name="Currency1 3 6 2" xfId="4884"/>
    <cellStyle name="Currency1 3 6 3" xfId="4889"/>
    <cellStyle name="Currency1 3 7" xfId="6501"/>
    <cellStyle name="Currency1 3 7 2" xfId="6503"/>
    <cellStyle name="Currency1 3 7 3" xfId="6507"/>
    <cellStyle name="Currency1 3 8" xfId="6512"/>
    <cellStyle name="Currency1 3 8 2" xfId="6518"/>
    <cellStyle name="Currency1 3 8 3" xfId="6522"/>
    <cellStyle name="Currency1 3 9" xfId="2945"/>
    <cellStyle name="Currency1 3 9 2" xfId="6523"/>
    <cellStyle name="Currency1 3 9 3" xfId="6524"/>
    <cellStyle name="Currency1 4" xfId="6525"/>
    <cellStyle name="Currency1 4 2" xfId="6528"/>
    <cellStyle name="Currency1 4 3" xfId="6530"/>
    <cellStyle name="Currency1 5" xfId="5779"/>
    <cellStyle name="Currency1 6" xfId="5782"/>
    <cellStyle name="Currency1 7" xfId="5785"/>
    <cellStyle name="Currency1 7 2" xfId="6531"/>
    <cellStyle name="Currency1 7 3" xfId="6533"/>
    <cellStyle name="Currency1 8" xfId="5789"/>
    <cellStyle name="Currency1 9" xfId="5793"/>
    <cellStyle name="Currency1 9 2" xfId="6538"/>
    <cellStyle name="Currency1 9 3" xfId="6543"/>
    <cellStyle name="Date" xfId="5321"/>
    <cellStyle name="Date 10" xfId="6549"/>
    <cellStyle name="Date 10 2" xfId="2801"/>
    <cellStyle name="Date 10 3" xfId="4361"/>
    <cellStyle name="Date 11" xfId="6553"/>
    <cellStyle name="Date 12" xfId="6556"/>
    <cellStyle name="Date 13" xfId="6558"/>
    <cellStyle name="Date 14" xfId="3196"/>
    <cellStyle name="Date 14 2" xfId="3218"/>
    <cellStyle name="Date 14 3" xfId="3235"/>
    <cellStyle name="Date 15" xfId="3200"/>
    <cellStyle name="Date 16" xfId="6561"/>
    <cellStyle name="Date 17" xfId="6566"/>
    <cellStyle name="Date 18" xfId="6570"/>
    <cellStyle name="Date 19" xfId="6577"/>
    <cellStyle name="Date 2" xfId="2932"/>
    <cellStyle name="Date 2 10" xfId="6580"/>
    <cellStyle name="Date 2 10 2" xfId="4833"/>
    <cellStyle name="Date 2 10 3" xfId="4838"/>
    <cellStyle name="Date 2 2" xfId="6343"/>
    <cellStyle name="Date 2 2 2" xfId="6581"/>
    <cellStyle name="Date 2 2 3" xfId="6582"/>
    <cellStyle name="Date 2 3" xfId="6350"/>
    <cellStyle name="Date 2 3 2" xfId="6583"/>
    <cellStyle name="Date 2 3 3" xfId="6584"/>
    <cellStyle name="Date 2 4" xfId="6354"/>
    <cellStyle name="Date 2 4 2" xfId="6585"/>
    <cellStyle name="Date 2 4 3" xfId="6586"/>
    <cellStyle name="Date 2 5" xfId="6357"/>
    <cellStyle name="Date 2 5 2" xfId="6587"/>
    <cellStyle name="Date 2 5 3" xfId="6590"/>
    <cellStyle name="Date 2 6" xfId="6359"/>
    <cellStyle name="Date 2 6 2" xfId="6593"/>
    <cellStyle name="Date 2 6 3" xfId="6596"/>
    <cellStyle name="Date 2 7" xfId="6361"/>
    <cellStyle name="Date 2 7 2" xfId="442"/>
    <cellStyle name="Date 2 7 3" xfId="505"/>
    <cellStyle name="Date 2 8" xfId="6599"/>
    <cellStyle name="Date 2 8 2" xfId="659"/>
    <cellStyle name="Date 2 8 3" xfId="671"/>
    <cellStyle name="Date 2 9" xfId="6600"/>
    <cellStyle name="Date 2 9 2" xfId="6601"/>
    <cellStyle name="Date 2 9 3" xfId="6602"/>
    <cellStyle name="Date 20" xfId="3201"/>
    <cellStyle name="Date 21" xfId="6560"/>
    <cellStyle name="Date 22" xfId="6565"/>
    <cellStyle name="Date 3" xfId="6603"/>
    <cellStyle name="Date 3 10" xfId="4754"/>
    <cellStyle name="Date 3 10 2" xfId="6609"/>
    <cellStyle name="Date 3 10 3" xfId="6614"/>
    <cellStyle name="Date 3 2" xfId="6378"/>
    <cellStyle name="Date 3 2 2" xfId="327"/>
    <cellStyle name="Date 3 2 3" xfId="6615"/>
    <cellStyle name="Date 3 3" xfId="6616"/>
    <cellStyle name="Date 3 3 2" xfId="6619"/>
    <cellStyle name="Date 3 3 3" xfId="3372"/>
    <cellStyle name="Date 3 4" xfId="6620"/>
    <cellStyle name="Date 3 4 2" xfId="2353"/>
    <cellStyle name="Date 3 4 3" xfId="2356"/>
    <cellStyle name="Date 3 5" xfId="6623"/>
    <cellStyle name="Date 3 5 2" xfId="6624"/>
    <cellStyle name="Date 3 5 3" xfId="6627"/>
    <cellStyle name="Date 3 6" xfId="6630"/>
    <cellStyle name="Date 3 6 2" xfId="4679"/>
    <cellStyle name="Date 3 6 3" xfId="4741"/>
    <cellStyle name="Date 3 7" xfId="6632"/>
    <cellStyle name="Date 3 7 2" xfId="6633"/>
    <cellStyle name="Date 3 7 3" xfId="6634"/>
    <cellStyle name="Date 3 8" xfId="6635"/>
    <cellStyle name="Date 3 8 2" xfId="6636"/>
    <cellStyle name="Date 3 8 3" xfId="6637"/>
    <cellStyle name="Date 3 9" xfId="6638"/>
    <cellStyle name="Date 3 9 2" xfId="2676"/>
    <cellStyle name="Date 3 9 3" xfId="2678"/>
    <cellStyle name="Date 4" xfId="6639"/>
    <cellStyle name="Date 4 2" xfId="6641"/>
    <cellStyle name="Date 4 3" xfId="6644"/>
    <cellStyle name="Date 5" xfId="6647"/>
    <cellStyle name="Date 6" xfId="6650"/>
    <cellStyle name="Date 7" xfId="6653"/>
    <cellStyle name="Date 7 2" xfId="6658"/>
    <cellStyle name="Date 7 3" xfId="6662"/>
    <cellStyle name="Date 8" xfId="6665"/>
    <cellStyle name="Date 9" xfId="6667"/>
    <cellStyle name="Date 9 2" xfId="6669"/>
    <cellStyle name="Date 9 3" xfId="6677"/>
    <cellStyle name="Dollar (zero dec)" xfId="6688"/>
    <cellStyle name="Dollar (zero dec) 10" xfId="5146"/>
    <cellStyle name="Dollar (zero dec) 10 2" xfId="6690"/>
    <cellStyle name="Dollar (zero dec) 10 3" xfId="6692"/>
    <cellStyle name="Dollar (zero dec) 11" xfId="5151"/>
    <cellStyle name="Dollar (zero dec) 12" xfId="5152"/>
    <cellStyle name="Dollar (zero dec) 13" xfId="3126"/>
    <cellStyle name="Dollar (zero dec) 14" xfId="3130"/>
    <cellStyle name="Dollar (zero dec) 14 2" xfId="6337"/>
    <cellStyle name="Dollar (zero dec) 14 3" xfId="6548"/>
    <cellStyle name="Dollar (zero dec) 15" xfId="5160"/>
    <cellStyle name="Dollar (zero dec) 16" xfId="6695"/>
    <cellStyle name="Dollar (zero dec) 17" xfId="6697"/>
    <cellStyle name="Dollar (zero dec) 18" xfId="6699"/>
    <cellStyle name="Dollar (zero dec) 19" xfId="2080"/>
    <cellStyle name="Dollar (zero dec) 2" xfId="6700"/>
    <cellStyle name="Dollar (zero dec) 2 10" xfId="360"/>
    <cellStyle name="Dollar (zero dec) 2 10 2" xfId="6701"/>
    <cellStyle name="Dollar (zero dec) 2 10 3" xfId="6703"/>
    <cellStyle name="Dollar (zero dec) 2 2" xfId="140"/>
    <cellStyle name="Dollar (zero dec) 2 2 2" xfId="3561"/>
    <cellStyle name="Dollar (zero dec) 2 2 3" xfId="3573"/>
    <cellStyle name="Dollar (zero dec) 2 3" xfId="5694"/>
    <cellStyle name="Dollar (zero dec) 2 3 2" xfId="6705"/>
    <cellStyle name="Dollar (zero dec) 2 3 3" xfId="6706"/>
    <cellStyle name="Dollar (zero dec) 2 4" xfId="6707"/>
    <cellStyle name="Dollar (zero dec) 2 4 2" xfId="3615"/>
    <cellStyle name="Dollar (zero dec) 2 4 3" xfId="6710"/>
    <cellStyle name="Dollar (zero dec) 2 5" xfId="6711"/>
    <cellStyle name="Dollar (zero dec) 2 5 2" xfId="3619"/>
    <cellStyle name="Dollar (zero dec) 2 5 3" xfId="6714"/>
    <cellStyle name="Dollar (zero dec) 2 6" xfId="6715"/>
    <cellStyle name="Dollar (zero dec) 2 6 2" xfId="3624"/>
    <cellStyle name="Dollar (zero dec) 2 6 3" xfId="6718"/>
    <cellStyle name="Dollar (zero dec) 2 7" xfId="6719"/>
    <cellStyle name="Dollar (zero dec) 2 7 2" xfId="6722"/>
    <cellStyle name="Dollar (zero dec) 2 7 3" xfId="6723"/>
    <cellStyle name="Dollar (zero dec) 2 8" xfId="6724"/>
    <cellStyle name="Dollar (zero dec) 2 8 2" xfId="124"/>
    <cellStyle name="Dollar (zero dec) 2 8 3" xfId="184"/>
    <cellStyle name="Dollar (zero dec) 2 9" xfId="6725"/>
    <cellStyle name="Dollar (zero dec) 2 9 2" xfId="6727"/>
    <cellStyle name="Dollar (zero dec) 2 9 3" xfId="6729"/>
    <cellStyle name="Dollar (zero dec) 20" xfId="5159"/>
    <cellStyle name="Dollar (zero dec) 21" xfId="6694"/>
    <cellStyle name="Dollar (zero dec) 22" xfId="6696"/>
    <cellStyle name="Dollar (zero dec) 3" xfId="6730"/>
    <cellStyle name="Dollar (zero dec) 3 10" xfId="6731"/>
    <cellStyle name="Dollar (zero dec) 3 10 2" xfId="6733"/>
    <cellStyle name="Dollar (zero dec) 3 10 3" xfId="6164"/>
    <cellStyle name="Dollar (zero dec) 3 2" xfId="6736"/>
    <cellStyle name="Dollar (zero dec) 3 2 2" xfId="6737"/>
    <cellStyle name="Dollar (zero dec) 3 2 3" xfId="6738"/>
    <cellStyle name="Dollar (zero dec) 3 3" xfId="6744"/>
    <cellStyle name="Dollar (zero dec) 3 3 2" xfId="53"/>
    <cellStyle name="Dollar (zero dec) 3 3 3" xfId="6748"/>
    <cellStyle name="Dollar (zero dec) 3 4" xfId="6753"/>
    <cellStyle name="Dollar (zero dec) 3 4 2" xfId="6755"/>
    <cellStyle name="Dollar (zero dec) 3 4 3" xfId="1692"/>
    <cellStyle name="Dollar (zero dec) 3 5" xfId="6761"/>
    <cellStyle name="Dollar (zero dec) 3 5 2" xfId="6762"/>
    <cellStyle name="Dollar (zero dec) 3 5 3" xfId="21"/>
    <cellStyle name="Dollar (zero dec) 3 6" xfId="6768"/>
    <cellStyle name="Dollar (zero dec) 3 6 2" xfId="6770"/>
    <cellStyle name="Dollar (zero dec) 3 6 3" xfId="6773"/>
    <cellStyle name="Dollar (zero dec) 3 7" xfId="6778"/>
    <cellStyle name="Dollar (zero dec) 3 7 2" xfId="6781"/>
    <cellStyle name="Dollar (zero dec) 3 7 3" xfId="6784"/>
    <cellStyle name="Dollar (zero dec) 3 8" xfId="6789"/>
    <cellStyle name="Dollar (zero dec) 3 8 2" xfId="852"/>
    <cellStyle name="Dollar (zero dec) 3 8 3" xfId="857"/>
    <cellStyle name="Dollar (zero dec) 3 9" xfId="535"/>
    <cellStyle name="Dollar (zero dec) 3 9 2" xfId="547"/>
    <cellStyle name="Dollar (zero dec) 3 9 3" xfId="555"/>
    <cellStyle name="Dollar (zero dec) 4" xfId="6790"/>
    <cellStyle name="Dollar (zero dec) 4 2" xfId="6791"/>
    <cellStyle name="Dollar (zero dec) 4 3" xfId="6792"/>
    <cellStyle name="Dollar (zero dec) 5" xfId="6793"/>
    <cellStyle name="Dollar (zero dec) 6" xfId="4937"/>
    <cellStyle name="Dollar (zero dec) 7" xfId="4940"/>
    <cellStyle name="Dollar (zero dec) 7 2" xfId="5720"/>
    <cellStyle name="Dollar (zero dec) 7 3" xfId="3037"/>
    <cellStyle name="Dollar (zero dec) 8" xfId="6794"/>
    <cellStyle name="Dollar (zero dec) 9" xfId="6796"/>
    <cellStyle name="Dollar (zero dec) 9 2" xfId="6798"/>
    <cellStyle name="Dollar (zero dec) 9 3" xfId="6799"/>
    <cellStyle name="Entered" xfId="6800"/>
    <cellStyle name="Entered 10" xfId="6801"/>
    <cellStyle name="Entered 10 2" xfId="6805"/>
    <cellStyle name="Entered 10 3" xfId="6687"/>
    <cellStyle name="Entered 11" xfId="5315"/>
    <cellStyle name="Entered 12" xfId="6806"/>
    <cellStyle name="Entered 13" xfId="6807"/>
    <cellStyle name="Entered 14" xfId="6810"/>
    <cellStyle name="Entered 15" xfId="6812"/>
    <cellStyle name="Entered 15 2" xfId="289"/>
    <cellStyle name="Entered 15 3" xfId="6813"/>
    <cellStyle name="Entered 16" xfId="5301"/>
    <cellStyle name="Entered 16 2" xfId="409"/>
    <cellStyle name="Entered 16 3" xfId="6815"/>
    <cellStyle name="Entered 17" xfId="581"/>
    <cellStyle name="Entered 18" xfId="588"/>
    <cellStyle name="Entered 19" xfId="6819"/>
    <cellStyle name="Entered 2" xfId="6740"/>
    <cellStyle name="Entered 2 10" xfId="6820"/>
    <cellStyle name="Entered 2 2" xfId="50"/>
    <cellStyle name="Entered 2 3" xfId="6745"/>
    <cellStyle name="Entered 2 4" xfId="6823"/>
    <cellStyle name="Entered 2 5" xfId="6826"/>
    <cellStyle name="Entered 2 6" xfId="6829"/>
    <cellStyle name="Entered 2 7" xfId="6832"/>
    <cellStyle name="Entered 2 8" xfId="6835"/>
    <cellStyle name="Entered 2 9" xfId="6838"/>
    <cellStyle name="Entered 20" xfId="6811"/>
    <cellStyle name="Entered 21" xfId="5300"/>
    <cellStyle name="Entered 21 2" xfId="408"/>
    <cellStyle name="Entered 21 3" xfId="6814"/>
    <cellStyle name="Entered 22" xfId="582"/>
    <cellStyle name="Entered 23" xfId="589"/>
    <cellStyle name="Entered 24" xfId="6818"/>
    <cellStyle name="Entered 25" xfId="6839"/>
    <cellStyle name="Entered 26" xfId="6323"/>
    <cellStyle name="Entered 27" xfId="6325"/>
    <cellStyle name="Entered 28" xfId="806"/>
    <cellStyle name="Entered 29" xfId="869"/>
    <cellStyle name="Entered 3" xfId="6749"/>
    <cellStyle name="Entered 3 10" xfId="6841"/>
    <cellStyle name="Entered 3 2" xfId="6754"/>
    <cellStyle name="Entered 3 3" xfId="1693"/>
    <cellStyle name="Entered 3 4" xfId="1916"/>
    <cellStyle name="Entered 3 5" xfId="2253"/>
    <cellStyle name="Entered 3 6" xfId="2605"/>
    <cellStyle name="Entered 3 7" xfId="1263"/>
    <cellStyle name="Entered 3 8" xfId="1267"/>
    <cellStyle name="Entered 3 9" xfId="2759"/>
    <cellStyle name="Entered 4" xfId="6757"/>
    <cellStyle name="Entered 5" xfId="6764"/>
    <cellStyle name="Entered 5 2" xfId="6771"/>
    <cellStyle name="Entered 5 3" xfId="6772"/>
    <cellStyle name="Entered 6" xfId="6774"/>
    <cellStyle name="Entered 6 2" xfId="6780"/>
    <cellStyle name="Entered 6 3" xfId="6783"/>
    <cellStyle name="Entered 7" xfId="6785"/>
    <cellStyle name="Entered 7 2" xfId="853"/>
    <cellStyle name="Entered 7 3" xfId="858"/>
    <cellStyle name="Entered 8" xfId="539"/>
    <cellStyle name="Entered 9" xfId="6844"/>
    <cellStyle name="Euro" xfId="6458"/>
    <cellStyle name="Euro 2" xfId="6468"/>
    <cellStyle name="Euro 2 2" xfId="6471"/>
    <cellStyle name="Euro 2 3" xfId="6477"/>
    <cellStyle name="Euro 3" xfId="232"/>
    <cellStyle name="Euro 4" xfId="6485"/>
    <cellStyle name="EY Narrative text" xfId="6846"/>
    <cellStyle name="EY Narrative text 2" xfId="5157"/>
    <cellStyle name="EY%colcalc" xfId="6847"/>
    <cellStyle name="EY%colcalc 2" xfId="68"/>
    <cellStyle name="EY%input" xfId="1022"/>
    <cellStyle name="EY%input 2" xfId="600"/>
    <cellStyle name="EY%rowcalc" xfId="5343"/>
    <cellStyle name="EY%rowcalc 2" xfId="3397"/>
    <cellStyle name="EY0dp" xfId="2524"/>
    <cellStyle name="EY0dp 2" xfId="6848"/>
    <cellStyle name="EY1dp" xfId="3993"/>
    <cellStyle name="EY1dp 2" xfId="6849"/>
    <cellStyle name="EY2dp" xfId="6850"/>
    <cellStyle name="EY2dp 2" xfId="6851"/>
    <cellStyle name="EY3dp" xfId="6852"/>
    <cellStyle name="EY3dp 2" xfId="5013"/>
    <cellStyle name="EYChartTitle" xfId="3339"/>
    <cellStyle name="EYChartTitle 2" xfId="6853"/>
    <cellStyle name="EYColumnHeading" xfId="6856"/>
    <cellStyle name="EYColumnHeading 2" xfId="6861"/>
    <cellStyle name="EYColumnHeading 2 2" xfId="2364"/>
    <cellStyle name="EYColumnHeading 2 3" xfId="2369"/>
    <cellStyle name="EYColumnHeading 2 4" xfId="2372"/>
    <cellStyle name="EYColumnHeading 2 5" xfId="2375"/>
    <cellStyle name="EYColumnHeading 2 6" xfId="2378"/>
    <cellStyle name="EYColumnHeading 2 7" xfId="6864"/>
    <cellStyle name="EYColumnHeading 2 8" xfId="6867"/>
    <cellStyle name="EYColumnHeading 3" xfId="6874"/>
    <cellStyle name="EYColumnHeading 4" xfId="6877"/>
    <cellStyle name="EYColumnHeading 5" xfId="6880"/>
    <cellStyle name="EYColumnHeading 6" xfId="3636"/>
    <cellStyle name="EYColumnHeading 7" xfId="4585"/>
    <cellStyle name="EYColumnHeading 8" xfId="4596"/>
    <cellStyle name="EYColumnHeading 9" xfId="4608"/>
    <cellStyle name="EYColumnHeadingItalic" xfId="6769"/>
    <cellStyle name="EYColumnHeadingItalic 2" xfId="6883"/>
    <cellStyle name="EYColumnHeadingItalic 2 2" xfId="6886"/>
    <cellStyle name="EYColumnHeadingItalic 2 3" xfId="6887"/>
    <cellStyle name="EYColumnHeadingItalic 2 4" xfId="6890"/>
    <cellStyle name="EYColumnHeadingItalic 2 5" xfId="6893"/>
    <cellStyle name="EYColumnHeadingItalic 2 6" xfId="6896"/>
    <cellStyle name="EYColumnHeadingItalic 2 7" xfId="6901"/>
    <cellStyle name="EYColumnHeadingItalic 2 8" xfId="6904"/>
    <cellStyle name="EYColumnHeadingItalic 3" xfId="6907"/>
    <cellStyle name="EYColumnHeadingItalic 4" xfId="6910"/>
    <cellStyle name="EYColumnHeadingItalic 5" xfId="4688"/>
    <cellStyle name="EYColumnHeadingItalic 6" xfId="4694"/>
    <cellStyle name="EYColumnHeadingItalic 7" xfId="4703"/>
    <cellStyle name="EYColumnHeadingItalic 8" xfId="4713"/>
    <cellStyle name="EYColumnHeadingItalic 9" xfId="4723"/>
    <cellStyle name="EYCoverDatabookName" xfId="3797"/>
    <cellStyle name="EYCoverDate" xfId="6913"/>
    <cellStyle name="EYCoverDraft" xfId="6914"/>
    <cellStyle name="EYCoverProjectName" xfId="6915"/>
    <cellStyle name="EYCurrency" xfId="3006"/>
    <cellStyle name="EYCurrency 2" xfId="3008"/>
    <cellStyle name="EYCurrency 2 2" xfId="6110"/>
    <cellStyle name="EYCurrency 2 3" xfId="6112"/>
    <cellStyle name="EYCurrency 2 4" xfId="6919"/>
    <cellStyle name="EYCurrency 2 5" xfId="6920"/>
    <cellStyle name="EYCurrency 2 6" xfId="6515"/>
    <cellStyle name="EYCurrency 2 7" xfId="6519"/>
    <cellStyle name="EYCurrency 2 8" xfId="6923"/>
    <cellStyle name="EYCurrency 3" xfId="3012"/>
    <cellStyle name="EYCurrency 4" xfId="6926"/>
    <cellStyle name="EYCurrency 5" xfId="6927"/>
    <cellStyle name="EYCurrency 6" xfId="6928"/>
    <cellStyle name="EYCurrency 7" xfId="4497"/>
    <cellStyle name="EYCurrency 8" xfId="6929"/>
    <cellStyle name="EYCurrency 9" xfId="6930"/>
    <cellStyle name="EYNotes" xfId="6931"/>
    <cellStyle name="EYNotesHeading" xfId="6936"/>
    <cellStyle name="EYNotesHeading 2" xfId="4114"/>
    <cellStyle name="EYNotesHeading 2 2" xfId="6937"/>
    <cellStyle name="EYNotesHeading 2 3" xfId="5945"/>
    <cellStyle name="EYNotesHeading 2 4" xfId="106"/>
    <cellStyle name="EYNotesHeading 2 5" xfId="4648"/>
    <cellStyle name="EYNotesHeading 2 6" xfId="4657"/>
    <cellStyle name="EYNotesHeading 2 7" xfId="5957"/>
    <cellStyle name="EYNotesHeading 2 8" xfId="5964"/>
    <cellStyle name="EYNotesHeading 3" xfId="4117"/>
    <cellStyle name="EYNotesHeading 4" xfId="6942"/>
    <cellStyle name="EYNotesHeading 5" xfId="6944"/>
    <cellStyle name="EYNotesHeading 6" xfId="6949"/>
    <cellStyle name="EYNotesHeading 7" xfId="6953"/>
    <cellStyle name="EYNotesHeading 8" xfId="6959"/>
    <cellStyle name="EYNotesHeading 9" xfId="6963"/>
    <cellStyle name="EYnumber" xfId="3910"/>
    <cellStyle name="EYnumber 2" xfId="3914"/>
    <cellStyle name="EYnumber 3" xfId="3917"/>
    <cellStyle name="EYnumber 4" xfId="6965"/>
    <cellStyle name="EYnumber 5" xfId="6967"/>
    <cellStyle name="EYnumber 6" xfId="6970"/>
    <cellStyle name="EYnumber 7" xfId="6234"/>
    <cellStyle name="EYnumber 8" xfId="6240"/>
    <cellStyle name="EYnumber 9" xfId="3095"/>
    <cellStyle name="EYRelianceRestricted" xfId="6973"/>
    <cellStyle name="EYSectionHeading" xfId="6974"/>
    <cellStyle name="EYSheetHeader1" xfId="2033"/>
    <cellStyle name="EYSheetHeading" xfId="6975"/>
    <cellStyle name="EYSheetHeading 2" xfId="4453"/>
    <cellStyle name="EYsmallheading" xfId="6978"/>
    <cellStyle name="EYSource" xfId="1027"/>
    <cellStyle name="EYSource 2" xfId="6982"/>
    <cellStyle name="EYtext" xfId="3833"/>
    <cellStyle name="EYtext 2" xfId="3837"/>
    <cellStyle name="EYtextbold" xfId="6984"/>
    <cellStyle name="EYtextbolditalic" xfId="6987"/>
    <cellStyle name="EYtextitalic" xfId="4562"/>
    <cellStyle name="Grey" xfId="6988"/>
    <cellStyle name="Grey 10" xfId="2855"/>
    <cellStyle name="Grey 10 2" xfId="2504"/>
    <cellStyle name="Grey 10 3" xfId="2511"/>
    <cellStyle name="Grey 11" xfId="2857"/>
    <cellStyle name="Grey 12" xfId="6989"/>
    <cellStyle name="Grey 13" xfId="6990"/>
    <cellStyle name="Grey 14" xfId="4902"/>
    <cellStyle name="Grey 15" xfId="6997"/>
    <cellStyle name="Grey 15 2" xfId="6999"/>
    <cellStyle name="Grey 15 3" xfId="4624"/>
    <cellStyle name="Grey 16" xfId="7008"/>
    <cellStyle name="Grey 16 2" xfId="7010"/>
    <cellStyle name="Grey 16 3" xfId="4637"/>
    <cellStyle name="Grey 17" xfId="7017"/>
    <cellStyle name="Grey 18" xfId="3551"/>
    <cellStyle name="Grey 19" xfId="3562"/>
    <cellStyle name="Grey 2" xfId="7020"/>
    <cellStyle name="Grey 2 10" xfId="619"/>
    <cellStyle name="Grey 2 2" xfId="7021"/>
    <cellStyle name="Grey 2 3" xfId="7025"/>
    <cellStyle name="Grey 2 4" xfId="7029"/>
    <cellStyle name="Grey 2 5" xfId="152"/>
    <cellStyle name="Grey 2 6" xfId="121"/>
    <cellStyle name="Grey 2 7" xfId="181"/>
    <cellStyle name="Grey 2 8" xfId="185"/>
    <cellStyle name="Grey 2 9" xfId="192"/>
    <cellStyle name="Grey 20" xfId="6996"/>
    <cellStyle name="Grey 21" xfId="7007"/>
    <cellStyle name="Grey 21 2" xfId="7009"/>
    <cellStyle name="Grey 21 3" xfId="4636"/>
    <cellStyle name="Grey 22" xfId="7016"/>
    <cellStyle name="Grey 23" xfId="3552"/>
    <cellStyle name="Grey 24" xfId="3563"/>
    <cellStyle name="Grey 25" xfId="3574"/>
    <cellStyle name="Grey 26" xfId="3581"/>
    <cellStyle name="Grey 27" xfId="3591"/>
    <cellStyle name="Grey 28" xfId="3598"/>
    <cellStyle name="Grey 29" xfId="3603"/>
    <cellStyle name="Grey 3" xfId="2743"/>
    <cellStyle name="Grey 3 10" xfId="7032"/>
    <cellStyle name="Grey 3 2" xfId="6649"/>
    <cellStyle name="Grey 3 3" xfId="6652"/>
    <cellStyle name="Grey 3 4" xfId="6664"/>
    <cellStyle name="Grey 3 5" xfId="6666"/>
    <cellStyle name="Grey 3 6" xfId="6726"/>
    <cellStyle name="Grey 3 7" xfId="6728"/>
    <cellStyle name="Grey 3 8" xfId="7035"/>
    <cellStyle name="Grey 3 9" xfId="7036"/>
    <cellStyle name="Grey 4" xfId="2745"/>
    <cellStyle name="Grey 5" xfId="7037"/>
    <cellStyle name="Grey 5 2" xfId="272"/>
    <cellStyle name="Grey 5 3" xfId="281"/>
    <cellStyle name="Grey 6" xfId="7040"/>
    <cellStyle name="Grey 6 2" xfId="7043"/>
    <cellStyle name="Grey 6 3" xfId="7044"/>
    <cellStyle name="Grey 7" xfId="130"/>
    <cellStyle name="Grey 7 2" xfId="7047"/>
    <cellStyle name="Grey 7 3" xfId="7048"/>
    <cellStyle name="Grey 8" xfId="3834"/>
    <cellStyle name="Grey 9" xfId="3857"/>
    <cellStyle name="Header1" xfId="7051"/>
    <cellStyle name="Header1 10" xfId="6474"/>
    <cellStyle name="Header1 11" xfId="6480"/>
    <cellStyle name="Header1 12" xfId="4087"/>
    <cellStyle name="Header1 12 2" xfId="2538"/>
    <cellStyle name="Header1 12 3" xfId="2586"/>
    <cellStyle name="Header1 13" xfId="4140"/>
    <cellStyle name="Header1 13 2" xfId="2696"/>
    <cellStyle name="Header1 13 3" xfId="2705"/>
    <cellStyle name="Header1 14" xfId="4180"/>
    <cellStyle name="Header1 15" xfId="4185"/>
    <cellStyle name="Header1 15 2" xfId="4188"/>
    <cellStyle name="Header1 15 3" xfId="4195"/>
    <cellStyle name="Header1 2" xfId="7052"/>
    <cellStyle name="Header1 2 10" xfId="7053"/>
    <cellStyle name="Header1 2 2" xfId="7056"/>
    <cellStyle name="Header1 2 3" xfId="7057"/>
    <cellStyle name="Header1 2 4" xfId="7058"/>
    <cellStyle name="Header1 2 5" xfId="7059"/>
    <cellStyle name="Header1 2 6" xfId="7060"/>
    <cellStyle name="Header1 2 7" xfId="7063"/>
    <cellStyle name="Header1 2 8" xfId="7066"/>
    <cellStyle name="Header1 2 9" xfId="7070"/>
    <cellStyle name="Header1 3" xfId="7074"/>
    <cellStyle name="Header1 4" xfId="7075"/>
    <cellStyle name="Header1 5" xfId="7076"/>
    <cellStyle name="Header1 5 2" xfId="5766"/>
    <cellStyle name="Header1 5 3" xfId="5768"/>
    <cellStyle name="Header1 6" xfId="7077"/>
    <cellStyle name="Header1 6 2" xfId="5470"/>
    <cellStyle name="Header1 6 3" xfId="5475"/>
    <cellStyle name="Header1 7" xfId="7078"/>
    <cellStyle name="Header1 7 2" xfId="5796"/>
    <cellStyle name="Header1 7 3" xfId="3081"/>
    <cellStyle name="Header1 8" xfId="7079"/>
    <cellStyle name="Header1 8 2" xfId="5828"/>
    <cellStyle name="Header1 8 3" xfId="5834"/>
    <cellStyle name="Header1 9" xfId="32"/>
    <cellStyle name="Header2" xfId="6252"/>
    <cellStyle name="Header2 10" xfId="6502"/>
    <cellStyle name="Header2 10 2" xfId="7080"/>
    <cellStyle name="Header2 10 3" xfId="7081"/>
    <cellStyle name="Header2 10 4" xfId="7082"/>
    <cellStyle name="Header2 10 5" xfId="7083"/>
    <cellStyle name="Header2 10 6" xfId="7084"/>
    <cellStyle name="Header2 10 7" xfId="5305"/>
    <cellStyle name="Header2 10 8" xfId="597"/>
    <cellStyle name="Header2 11" xfId="6506"/>
    <cellStyle name="Header2 12" xfId="7085"/>
    <cellStyle name="Header2 13" xfId="7086"/>
    <cellStyle name="Header2 14" xfId="7087"/>
    <cellStyle name="Header2 15" xfId="7088"/>
    <cellStyle name="Header2 16" xfId="6857"/>
    <cellStyle name="Header2 17" xfId="6870"/>
    <cellStyle name="Header2 2" xfId="4945"/>
    <cellStyle name="Header2 2 10" xfId="7089"/>
    <cellStyle name="Header2 2 10 10" xfId="3301"/>
    <cellStyle name="Header2 2 10 2" xfId="1577"/>
    <cellStyle name="Header2 2 10 2 2" xfId="865"/>
    <cellStyle name="Header2 2 10 2 3" xfId="891"/>
    <cellStyle name="Header2 2 10 2 4" xfId="901"/>
    <cellStyle name="Header2 2 10 2 5" xfId="913"/>
    <cellStyle name="Header2 2 10 2 6" xfId="716"/>
    <cellStyle name="Header2 2 10 2 7" xfId="471"/>
    <cellStyle name="Header2 2 10 2 8" xfId="485"/>
    <cellStyle name="Header2 2 10 3" xfId="675"/>
    <cellStyle name="Header2 2 10 3 2" xfId="1193"/>
    <cellStyle name="Header2 2 10 3 3" xfId="1201"/>
    <cellStyle name="Header2 2 10 3 4" xfId="1648"/>
    <cellStyle name="Header2 2 10 3 5" xfId="1662"/>
    <cellStyle name="Header2 2 10 3 6" xfId="1676"/>
    <cellStyle name="Header2 2 10 3 7" xfId="510"/>
    <cellStyle name="Header2 2 10 3 8" xfId="521"/>
    <cellStyle name="Header2 2 10 4" xfId="1868"/>
    <cellStyle name="Header2 2 10 5" xfId="1876"/>
    <cellStyle name="Header2 2 10 6" xfId="1886"/>
    <cellStyle name="Header2 2 10 7" xfId="1897"/>
    <cellStyle name="Header2 2 10 8" xfId="1907"/>
    <cellStyle name="Header2 2 10 9" xfId="2216"/>
    <cellStyle name="Header2 2 11" xfId="6036"/>
    <cellStyle name="Header2 2 11 2" xfId="7091"/>
    <cellStyle name="Header2 2 11 3" xfId="7094"/>
    <cellStyle name="Header2 2 11 4" xfId="6535"/>
    <cellStyle name="Header2 2 11 5" xfId="6540"/>
    <cellStyle name="Header2 2 11 6" xfId="7097"/>
    <cellStyle name="Header2 2 11 7" xfId="7100"/>
    <cellStyle name="Header2 2 11 8" xfId="7103"/>
    <cellStyle name="Header2 2 12" xfId="6039"/>
    <cellStyle name="Header2 2 12 2" xfId="7104"/>
    <cellStyle name="Header2 2 12 3" xfId="7107"/>
    <cellStyle name="Header2 2 12 4" xfId="7110"/>
    <cellStyle name="Header2 2 12 5" xfId="7113"/>
    <cellStyle name="Header2 2 12 6" xfId="6802"/>
    <cellStyle name="Header2 2 12 7" xfId="6683"/>
    <cellStyle name="Header2 2 12 8" xfId="7116"/>
    <cellStyle name="Header2 2 13" xfId="7118"/>
    <cellStyle name="Header2 2 14" xfId="7120"/>
    <cellStyle name="Header2 2 15" xfId="6779"/>
    <cellStyle name="Header2 2 16" xfId="6782"/>
    <cellStyle name="Header2 2 17" xfId="7121"/>
    <cellStyle name="Header2 2 18" xfId="7122"/>
    <cellStyle name="Header2 2 19" xfId="7123"/>
    <cellStyle name="Header2 2 2" xfId="956"/>
    <cellStyle name="Header2 2 2 10" xfId="7125"/>
    <cellStyle name="Header2 2 2 2" xfId="4805"/>
    <cellStyle name="Header2 2 2 2 2" xfId="5974"/>
    <cellStyle name="Header2 2 2 2 3" xfId="6003"/>
    <cellStyle name="Header2 2 2 2 4" xfId="1583"/>
    <cellStyle name="Header2 2 2 2 5" xfId="1590"/>
    <cellStyle name="Header2 2 2 2 6" xfId="6012"/>
    <cellStyle name="Header2 2 2 2 7" xfId="6017"/>
    <cellStyle name="Header2 2 2 2 8" xfId="6023"/>
    <cellStyle name="Header2 2 2 3" xfId="3793"/>
    <cellStyle name="Header2 2 2 3 2" xfId="7126"/>
    <cellStyle name="Header2 2 2 3 3" xfId="7131"/>
    <cellStyle name="Header2 2 2 3 4" xfId="1595"/>
    <cellStyle name="Header2 2 2 3 5" xfId="1604"/>
    <cellStyle name="Header2 2 2 3 6" xfId="7134"/>
    <cellStyle name="Header2 2 2 3 7" xfId="7137"/>
    <cellStyle name="Header2 2 2 3 8" xfId="7140"/>
    <cellStyle name="Header2 2 2 4" xfId="3802"/>
    <cellStyle name="Header2 2 2 5" xfId="7143"/>
    <cellStyle name="Header2 2 2 6" xfId="7149"/>
    <cellStyle name="Header2 2 2 7" xfId="7157"/>
    <cellStyle name="Header2 2 2 8" xfId="1741"/>
    <cellStyle name="Header2 2 2 9" xfId="1745"/>
    <cellStyle name="Header2 2 3" xfId="966"/>
    <cellStyle name="Header2 2 3 10" xfId="2781"/>
    <cellStyle name="Header2 2 3 2" xfId="4824"/>
    <cellStyle name="Header2 2 3 2 2" xfId="3534"/>
    <cellStyle name="Header2 2 3 2 3" xfId="3537"/>
    <cellStyle name="Header2 2 3 2 4" xfId="1646"/>
    <cellStyle name="Header2 2 3 2 5" xfId="1231"/>
    <cellStyle name="Header2 2 3 2 6" xfId="7162"/>
    <cellStyle name="Header2 2 3 2 7" xfId="7164"/>
    <cellStyle name="Header2 2 3 2 8" xfId="7167"/>
    <cellStyle name="Header2 2 3 3" xfId="3813"/>
    <cellStyle name="Header2 2 3 3 2" xfId="7169"/>
    <cellStyle name="Header2 2 3 3 3" xfId="1214"/>
    <cellStyle name="Header2 2 3 3 4" xfId="1652"/>
    <cellStyle name="Header2 2 3 3 5" xfId="1656"/>
    <cellStyle name="Header2 2 3 3 6" xfId="7170"/>
    <cellStyle name="Header2 2 3 3 7" xfId="7172"/>
    <cellStyle name="Header2 2 3 3 8" xfId="7173"/>
    <cellStyle name="Header2 2 3 4" xfId="3819"/>
    <cellStyle name="Header2 2 3 5" xfId="7174"/>
    <cellStyle name="Header2 2 3 6" xfId="7179"/>
    <cellStyle name="Header2 2 3 7" xfId="7185"/>
    <cellStyle name="Header2 2 3 8" xfId="7190"/>
    <cellStyle name="Header2 2 3 9" xfId="7193"/>
    <cellStyle name="Header2 2 4" xfId="971"/>
    <cellStyle name="Header2 2 4 10" xfId="7196"/>
    <cellStyle name="Header2 2 4 2" xfId="4870"/>
    <cellStyle name="Header2 2 4 2 2" xfId="7198"/>
    <cellStyle name="Header2 2 4 2 3" xfId="7200"/>
    <cellStyle name="Header2 2 4 2 4" xfId="7201"/>
    <cellStyle name="Header2 2 4 2 5" xfId="7202"/>
    <cellStyle name="Header2 2 4 2 6" xfId="7203"/>
    <cellStyle name="Header2 2 4 2 7" xfId="7204"/>
    <cellStyle name="Header2 2 4 2 8" xfId="5524"/>
    <cellStyle name="Header2 2 4 3" xfId="7205"/>
    <cellStyle name="Header2 2 4 3 2" xfId="7208"/>
    <cellStyle name="Header2 2 4 3 3" xfId="7209"/>
    <cellStyle name="Header2 2 4 3 4" xfId="7210"/>
    <cellStyle name="Header2 2 4 3 5" xfId="7211"/>
    <cellStyle name="Header2 2 4 3 6" xfId="7212"/>
    <cellStyle name="Header2 2 4 3 7" xfId="7213"/>
    <cellStyle name="Header2 2 4 3 8" xfId="7214"/>
    <cellStyle name="Header2 2 4 4" xfId="7215"/>
    <cellStyle name="Header2 2 4 5" xfId="7218"/>
    <cellStyle name="Header2 2 4 6" xfId="7220"/>
    <cellStyle name="Header2 2 4 7" xfId="7224"/>
    <cellStyle name="Header2 2 4 8" xfId="7227"/>
    <cellStyle name="Header2 2 4 9" xfId="7230"/>
    <cellStyle name="Header2 2 5" xfId="979"/>
    <cellStyle name="Header2 2 5 10" xfId="7233"/>
    <cellStyle name="Header2 2 5 2" xfId="7235"/>
    <cellStyle name="Header2 2 5 2 2" xfId="7238"/>
    <cellStyle name="Header2 2 5 2 3" xfId="7240"/>
    <cellStyle name="Header2 2 5 2 4" xfId="7243"/>
    <cellStyle name="Header2 2 5 2 5" xfId="7246"/>
    <cellStyle name="Header2 2 5 2 6" xfId="7249"/>
    <cellStyle name="Header2 2 5 2 7" xfId="7252"/>
    <cellStyle name="Header2 2 5 2 8" xfId="7255"/>
    <cellStyle name="Header2 2 5 3" xfId="3690"/>
    <cellStyle name="Header2 2 5 3 2" xfId="3249"/>
    <cellStyle name="Header2 2 5 3 3" xfId="3252"/>
    <cellStyle name="Header2 2 5 3 4" xfId="3254"/>
    <cellStyle name="Header2 2 5 3 5" xfId="3258"/>
    <cellStyle name="Header2 2 5 3 6" xfId="3260"/>
    <cellStyle name="Header2 2 5 3 7" xfId="7256"/>
    <cellStyle name="Header2 2 5 3 8" xfId="7257"/>
    <cellStyle name="Header2 2 5 4" xfId="7258"/>
    <cellStyle name="Header2 2 5 5" xfId="7261"/>
    <cellStyle name="Header2 2 5 6" xfId="7263"/>
    <cellStyle name="Header2 2 5 7" xfId="7267"/>
    <cellStyle name="Header2 2 5 8" xfId="7270"/>
    <cellStyle name="Header2 2 5 9" xfId="7273"/>
    <cellStyle name="Header2 2 6" xfId="1030"/>
    <cellStyle name="Header2 2 6 10" xfId="1752"/>
    <cellStyle name="Header2 2 6 2" xfId="6979"/>
    <cellStyle name="Header2 2 6 2 2" xfId="6428"/>
    <cellStyle name="Header2 2 6 2 3" xfId="6431"/>
    <cellStyle name="Header2 2 6 2 4" xfId="5536"/>
    <cellStyle name="Header2 2 6 2 5" xfId="6444"/>
    <cellStyle name="Header2 2 6 2 6" xfId="6454"/>
    <cellStyle name="Header2 2 6 2 7" xfId="7276"/>
    <cellStyle name="Header2 2 6 2 8" xfId="7277"/>
    <cellStyle name="Header2 2 6 3" xfId="7278"/>
    <cellStyle name="Header2 2 6 3 2" xfId="6490"/>
    <cellStyle name="Header2 2 6 3 3" xfId="6497"/>
    <cellStyle name="Header2 2 6 3 4" xfId="6500"/>
    <cellStyle name="Header2 2 6 3 5" xfId="6511"/>
    <cellStyle name="Header2 2 6 3 6" xfId="2946"/>
    <cellStyle name="Header2 2 6 3 7" xfId="2950"/>
    <cellStyle name="Header2 2 6 3 8" xfId="7281"/>
    <cellStyle name="Header2 2 6 4" xfId="7282"/>
    <cellStyle name="Header2 2 6 5" xfId="7285"/>
    <cellStyle name="Header2 2 6 6" xfId="7287"/>
    <cellStyle name="Header2 2 6 7" xfId="7291"/>
    <cellStyle name="Header2 2 6 8" xfId="7294"/>
    <cellStyle name="Header2 2 6 9" xfId="7297"/>
    <cellStyle name="Header2 2 7" xfId="1037"/>
    <cellStyle name="Header2 2 7 10" xfId="7300"/>
    <cellStyle name="Header2 2 7 2" xfId="7301"/>
    <cellStyle name="Header2 2 7 2 2" xfId="7304"/>
    <cellStyle name="Header2 2 7 2 3" xfId="7305"/>
    <cellStyle name="Header2 2 7 2 4" xfId="7306"/>
    <cellStyle name="Header2 2 7 2 5" xfId="7307"/>
    <cellStyle name="Header2 2 7 2 6" xfId="7308"/>
    <cellStyle name="Header2 2 7 2 7" xfId="2864"/>
    <cellStyle name="Header2 2 7 2 8" xfId="2868"/>
    <cellStyle name="Header2 2 7 3" xfId="7309"/>
    <cellStyle name="Header2 2 7 3 2" xfId="7312"/>
    <cellStyle name="Header2 2 7 3 3" xfId="7313"/>
    <cellStyle name="Header2 2 7 3 4" xfId="7314"/>
    <cellStyle name="Header2 2 7 3 5" xfId="7315"/>
    <cellStyle name="Header2 2 7 3 6" xfId="7316"/>
    <cellStyle name="Header2 2 7 3 7" xfId="2875"/>
    <cellStyle name="Header2 2 7 3 8" xfId="2879"/>
    <cellStyle name="Header2 2 7 4" xfId="4242"/>
    <cellStyle name="Header2 2 7 5" xfId="4328"/>
    <cellStyle name="Header2 2 7 6" xfId="4395"/>
    <cellStyle name="Header2 2 7 7" xfId="4443"/>
    <cellStyle name="Header2 2 7 8" xfId="4447"/>
    <cellStyle name="Header2 2 7 9" xfId="4451"/>
    <cellStyle name="Header2 2 8" xfId="111"/>
    <cellStyle name="Header2 2 8 10" xfId="3644"/>
    <cellStyle name="Header2 2 8 2" xfId="7317"/>
    <cellStyle name="Header2 2 8 2 2" xfId="7322"/>
    <cellStyle name="Header2 2 8 2 3" xfId="4532"/>
    <cellStyle name="Header2 2 8 2 4" xfId="4536"/>
    <cellStyle name="Header2 2 8 2 5" xfId="7323"/>
    <cellStyle name="Header2 2 8 2 6" xfId="7324"/>
    <cellStyle name="Header2 2 8 2 7" xfId="2961"/>
    <cellStyle name="Header2 2 8 2 8" xfId="2966"/>
    <cellStyle name="Header2 2 8 3" xfId="7325"/>
    <cellStyle name="Header2 2 8 3 2" xfId="7330"/>
    <cellStyle name="Header2 2 8 3 3" xfId="4547"/>
    <cellStyle name="Header2 2 8 3 4" xfId="4551"/>
    <cellStyle name="Header2 2 8 3 5" xfId="7331"/>
    <cellStyle name="Header2 2 8 3 6" xfId="7332"/>
    <cellStyle name="Header2 2 8 3 7" xfId="2973"/>
    <cellStyle name="Header2 2 8 3 8" xfId="992"/>
    <cellStyle name="Header2 2 8 4" xfId="7333"/>
    <cellStyle name="Header2 2 8 5" xfId="7338"/>
    <cellStyle name="Header2 2 8 6" xfId="3489"/>
    <cellStyle name="Header2 2 8 7" xfId="3496"/>
    <cellStyle name="Header2 2 8 8" xfId="3502"/>
    <cellStyle name="Header2 2 8 9" xfId="3508"/>
    <cellStyle name="Header2 2 9" xfId="1050"/>
    <cellStyle name="Header2 2 9 10" xfId="7342"/>
    <cellStyle name="Header2 2 9 2" xfId="4897"/>
    <cellStyle name="Header2 2 9 2 2" xfId="7344"/>
    <cellStyle name="Header2 2 9 2 3" xfId="4612"/>
    <cellStyle name="Header2 2 9 2 4" xfId="4616"/>
    <cellStyle name="Header2 2 9 2 5" xfId="7345"/>
    <cellStyle name="Header2 2 9 2 6" xfId="7346"/>
    <cellStyle name="Header2 2 9 2 7" xfId="330"/>
    <cellStyle name="Header2 2 9 2 8" xfId="363"/>
    <cellStyle name="Header2 2 9 3" xfId="6991"/>
    <cellStyle name="Header2 2 9 3 2" xfId="6998"/>
    <cellStyle name="Header2 2 9 3 3" xfId="4623"/>
    <cellStyle name="Header2 2 9 3 4" xfId="4629"/>
    <cellStyle name="Header2 2 9 3 5" xfId="6076"/>
    <cellStyle name="Header2 2 9 3 6" xfId="7347"/>
    <cellStyle name="Header2 2 9 3 7" xfId="562"/>
    <cellStyle name="Header2 2 9 3 8" xfId="337"/>
    <cellStyle name="Header2 2 9 4" xfId="7002"/>
    <cellStyle name="Header2 2 9 5" xfId="7013"/>
    <cellStyle name="Header2 2 9 6" xfId="3557"/>
    <cellStyle name="Header2 2 9 7" xfId="3568"/>
    <cellStyle name="Header2 2 9 8" xfId="3577"/>
    <cellStyle name="Header2 2 9 9" xfId="3584"/>
    <cellStyle name="Header2 3" xfId="7348"/>
    <cellStyle name="Header2 3 10" xfId="7349"/>
    <cellStyle name="Header2 3 2" xfId="5221"/>
    <cellStyle name="Header2 3 2 2" xfId="7350"/>
    <cellStyle name="Header2 3 2 3" xfId="3939"/>
    <cellStyle name="Header2 3 2 4" xfId="3947"/>
    <cellStyle name="Header2 3 2 5" xfId="5094"/>
    <cellStyle name="Header2 3 2 6" xfId="5100"/>
    <cellStyle name="Header2 3 2 7" xfId="5106"/>
    <cellStyle name="Header2 3 2 8" xfId="3462"/>
    <cellStyle name="Header2 3 3" xfId="5226"/>
    <cellStyle name="Header2 3 3 2" xfId="7354"/>
    <cellStyle name="Header2 3 3 3" xfId="3961"/>
    <cellStyle name="Header2 3 3 4" xfId="3967"/>
    <cellStyle name="Header2 3 3 5" xfId="5128"/>
    <cellStyle name="Header2 3 3 6" xfId="5134"/>
    <cellStyle name="Header2 3 3 7" xfId="5140"/>
    <cellStyle name="Header2 3 3 8" xfId="5147"/>
    <cellStyle name="Header2 3 4" xfId="5231"/>
    <cellStyle name="Header2 3 5" xfId="5234"/>
    <cellStyle name="Header2 3 6" xfId="5237"/>
    <cellStyle name="Header2 3 7" xfId="5243"/>
    <cellStyle name="Header2 3 8" xfId="5252"/>
    <cellStyle name="Header2 3 9" xfId="5255"/>
    <cellStyle name="Header2 4" xfId="7358"/>
    <cellStyle name="Header2 4 10" xfId="7359"/>
    <cellStyle name="Header2 4 2" xfId="7361"/>
    <cellStyle name="Header2 4 2 2" xfId="7362"/>
    <cellStyle name="Header2 4 2 3" xfId="7365"/>
    <cellStyle name="Header2 4 2 4" xfId="6329"/>
    <cellStyle name="Header2 4 2 5" xfId="6334"/>
    <cellStyle name="Header2 4 2 6" xfId="6545"/>
    <cellStyle name="Header2 4 2 7" xfId="6550"/>
    <cellStyle name="Header2 4 2 8" xfId="6554"/>
    <cellStyle name="Header2 4 3" xfId="7368"/>
    <cellStyle name="Header2 4 3 2" xfId="7369"/>
    <cellStyle name="Header2 4 3 3" xfId="7372"/>
    <cellStyle name="Header2 4 3 4" xfId="7375"/>
    <cellStyle name="Header2 4 3 5" xfId="7378"/>
    <cellStyle name="Header2 4 3 6" xfId="6605"/>
    <cellStyle name="Header2 4 3 7" xfId="6610"/>
    <cellStyle name="Header2 4 3 8" xfId="7381"/>
    <cellStyle name="Header2 4 4" xfId="7383"/>
    <cellStyle name="Header2 4 5" xfId="7384"/>
    <cellStyle name="Header2 4 6" xfId="7385"/>
    <cellStyle name="Header2 4 7" xfId="7386"/>
    <cellStyle name="Header2 4 8" xfId="7387"/>
    <cellStyle name="Header2 4 9" xfId="7124"/>
    <cellStyle name="Header2 5" xfId="7388"/>
    <cellStyle name="Header2 5 10" xfId="7389"/>
    <cellStyle name="Header2 5 2" xfId="7390"/>
    <cellStyle name="Header2 5 2 2" xfId="1971"/>
    <cellStyle name="Header2 5 2 3" xfId="1976"/>
    <cellStyle name="Header2 5 2 4" xfId="1864"/>
    <cellStyle name="Header2 5 2 5" xfId="2004"/>
    <cellStyle name="Header2 5 2 6" xfId="2009"/>
    <cellStyle name="Header2 5 2 7" xfId="2014"/>
    <cellStyle name="Header2 5 2 8" xfId="2017"/>
    <cellStyle name="Header2 5 3" xfId="7391"/>
    <cellStyle name="Header2 5 3 2" xfId="7392"/>
    <cellStyle name="Header2 5 3 3" xfId="7395"/>
    <cellStyle name="Header2 5 3 4" xfId="7398"/>
    <cellStyle name="Header2 5 3 5" xfId="7401"/>
    <cellStyle name="Header2 5 3 6" xfId="7404"/>
    <cellStyle name="Header2 5 3 7" xfId="7407"/>
    <cellStyle name="Header2 5 3 8" xfId="7410"/>
    <cellStyle name="Header2 5 4" xfId="1217"/>
    <cellStyle name="Header2 5 5" xfId="7411"/>
    <cellStyle name="Header2 5 6" xfId="7412"/>
    <cellStyle name="Header2 5 7" xfId="7413"/>
    <cellStyle name="Header2 5 8" xfId="7414"/>
    <cellStyle name="Header2 5 9" xfId="4471"/>
    <cellStyle name="Header2 6" xfId="7415"/>
    <cellStyle name="Header2 6 10" xfId="7416"/>
    <cellStyle name="Header2 6 2" xfId="7419"/>
    <cellStyle name="Header2 6 2 2" xfId="7420"/>
    <cellStyle name="Header2 6 2 3" xfId="4745"/>
    <cellStyle name="Header2 6 2 4" xfId="7423"/>
    <cellStyle name="Header2 6 2 5" xfId="7426"/>
    <cellStyle name="Header2 6 2 6" xfId="7429"/>
    <cellStyle name="Header2 6 2 7" xfId="7432"/>
    <cellStyle name="Header2 6 2 8" xfId="7435"/>
    <cellStyle name="Header2 6 3" xfId="6415"/>
    <cellStyle name="Header2 6 3 2" xfId="6417"/>
    <cellStyle name="Header2 6 3 3" xfId="3031"/>
    <cellStyle name="Header2 6 3 4" xfId="3046"/>
    <cellStyle name="Header2 6 3 5" xfId="3053"/>
    <cellStyle name="Header2 6 3 6" xfId="3058"/>
    <cellStyle name="Header2 6 3 7" xfId="3062"/>
    <cellStyle name="Header2 6 3 8" xfId="3072"/>
    <cellStyle name="Header2 6 4" xfId="6421"/>
    <cellStyle name="Header2 6 5" xfId="6425"/>
    <cellStyle name="Header2 6 6" xfId="6427"/>
    <cellStyle name="Header2 6 7" xfId="6430"/>
    <cellStyle name="Header2 6 8" xfId="5535"/>
    <cellStyle name="Header2 6 9" xfId="6443"/>
    <cellStyle name="Header2 7" xfId="7436"/>
    <cellStyle name="Header2 7 10" xfId="7437"/>
    <cellStyle name="Header2 7 2" xfId="7438"/>
    <cellStyle name="Header2 7 2 2" xfId="7439"/>
    <cellStyle name="Header2 7 2 3" xfId="7443"/>
    <cellStyle name="Header2 7 2 4" xfId="7447"/>
    <cellStyle name="Header2 7 2 5" xfId="6044"/>
    <cellStyle name="Header2 7 2 6" xfId="6051"/>
    <cellStyle name="Header2 7 2 7" xfId="7451"/>
    <cellStyle name="Header2 7 2 8" xfId="2073"/>
    <cellStyle name="Header2 7 3" xfId="6467"/>
    <cellStyle name="Header2 7 3 2" xfId="6470"/>
    <cellStyle name="Header2 7 3 3" xfId="6476"/>
    <cellStyle name="Header2 7 3 4" xfId="4084"/>
    <cellStyle name="Header2 7 3 5" xfId="4137"/>
    <cellStyle name="Header2 7 3 6" xfId="4177"/>
    <cellStyle name="Header2 7 3 7" xfId="4182"/>
    <cellStyle name="Header2 7 3 8" xfId="4198"/>
    <cellStyle name="Header2 7 4" xfId="231"/>
    <cellStyle name="Header2 7 5" xfId="6484"/>
    <cellStyle name="Header2 7 6" xfId="6489"/>
    <cellStyle name="Header2 7 7" xfId="6496"/>
    <cellStyle name="Header2 7 8" xfId="6499"/>
    <cellStyle name="Header2 7 9" xfId="6510"/>
    <cellStyle name="Header2 8" xfId="3256"/>
    <cellStyle name="Header2 8 10" xfId="6631"/>
    <cellStyle name="Header2 8 2" xfId="7455"/>
    <cellStyle name="Header2 8 2 2" xfId="7456"/>
    <cellStyle name="Header2 8 2 3" xfId="7458"/>
    <cellStyle name="Header2 8 2 4" xfId="7460"/>
    <cellStyle name="Header2 8 2 5" xfId="7462"/>
    <cellStyle name="Header2 8 2 6" xfId="983"/>
    <cellStyle name="Header2 8 2 7" xfId="4994"/>
    <cellStyle name="Header2 8 2 8" xfId="7464"/>
    <cellStyle name="Header2 8 3" xfId="6527"/>
    <cellStyle name="Header2 8 3 2" xfId="5862"/>
    <cellStyle name="Header2 8 3 3" xfId="5865"/>
    <cellStyle name="Header2 8 3 4" xfId="5868"/>
    <cellStyle name="Header2 8 3 5" xfId="5871"/>
    <cellStyle name="Header2 8 3 6" xfId="5000"/>
    <cellStyle name="Header2 8 3 7" xfId="5003"/>
    <cellStyle name="Header2 8 3 8" xfId="4683"/>
    <cellStyle name="Header2 8 4" xfId="6529"/>
    <cellStyle name="Header2 8 5" xfId="7465"/>
    <cellStyle name="Header2 8 6" xfId="7466"/>
    <cellStyle name="Header2 8 7" xfId="7467"/>
    <cellStyle name="Header2 8 8" xfId="2764"/>
    <cellStyle name="Header2 8 9" xfId="2766"/>
    <cellStyle name="Header2 9" xfId="626"/>
    <cellStyle name="Header2 9 2" xfId="3621"/>
    <cellStyle name="Header2 9 3" xfId="3629"/>
    <cellStyle name="Header2 9 4" xfId="3631"/>
    <cellStyle name="Header2 9 5" xfId="6732"/>
    <cellStyle name="Header2 9 6" xfId="6163"/>
    <cellStyle name="Header2 9 7" xfId="6169"/>
    <cellStyle name="Header2 9 8" xfId="2777"/>
    <cellStyle name="HEADINGS" xfId="5349"/>
    <cellStyle name="HEADINGS 10" xfId="6247"/>
    <cellStyle name="HEADINGS 10 2" xfId="6255"/>
    <cellStyle name="HEADINGS 10 3" xfId="6261"/>
    <cellStyle name="HEADINGS 11" xfId="5758"/>
    <cellStyle name="HEADINGS 11 2" xfId="6293"/>
    <cellStyle name="HEADINGS 12" xfId="6297"/>
    <cellStyle name="HEADINGS 12 2" xfId="5197"/>
    <cellStyle name="HEADINGS 13" xfId="6301"/>
    <cellStyle name="HEADINGS 13 2" xfId="1961"/>
    <cellStyle name="HEADINGS 14" xfId="6304"/>
    <cellStyle name="HEADINGS 14 2" xfId="6306"/>
    <cellStyle name="HEADINGS 14 3" xfId="6310"/>
    <cellStyle name="HEADINGS 15" xfId="6316"/>
    <cellStyle name="HEADINGS 15 2" xfId="6900"/>
    <cellStyle name="HEADINGS 16" xfId="2718"/>
    <cellStyle name="HEADINGS 16 2" xfId="6319"/>
    <cellStyle name="HEADINGS 17" xfId="2722"/>
    <cellStyle name="HEADINGS 17 2" xfId="5204"/>
    <cellStyle name="HEADINGS 18" xfId="5776"/>
    <cellStyle name="HEADINGS 18 2" xfId="2321"/>
    <cellStyle name="HEADINGS 19" xfId="5624"/>
    <cellStyle name="HEADINGS 19 2" xfId="7468"/>
    <cellStyle name="HEADINGS 2" xfId="3403"/>
    <cellStyle name="HEADINGS 2 10" xfId="7469"/>
    <cellStyle name="HEADINGS 2 10 2" xfId="7024"/>
    <cellStyle name="HEADINGS 2 10 3" xfId="7028"/>
    <cellStyle name="HEADINGS 2 11" xfId="7470"/>
    <cellStyle name="HEADINGS 2 2" xfId="7471"/>
    <cellStyle name="HEADINGS 2 2 2" xfId="7472"/>
    <cellStyle name="HEADINGS 2 2 3" xfId="2853"/>
    <cellStyle name="HEADINGS 2 3" xfId="7473"/>
    <cellStyle name="HEADINGS 2 3 2" xfId="7474"/>
    <cellStyle name="HEADINGS 2 3 3" xfId="2952"/>
    <cellStyle name="HEADINGS 2 4" xfId="7475"/>
    <cellStyle name="HEADINGS 2 4 2" xfId="7476"/>
    <cellStyle name="HEADINGS 2 4 3" xfId="3002"/>
    <cellStyle name="HEADINGS 2 5" xfId="7477"/>
    <cellStyle name="HEADINGS 2 5 2" xfId="7478"/>
    <cellStyle name="HEADINGS 2 5 3" xfId="7479"/>
    <cellStyle name="HEADINGS 2 6" xfId="7480"/>
    <cellStyle name="HEADINGS 2 6 2" xfId="7481"/>
    <cellStyle name="HEADINGS 2 6 3" xfId="7482"/>
    <cellStyle name="HEADINGS 2 7" xfId="7483"/>
    <cellStyle name="HEADINGS 2 7 2" xfId="7484"/>
    <cellStyle name="HEADINGS 2 7 3" xfId="3009"/>
    <cellStyle name="HEADINGS 2 8" xfId="7485"/>
    <cellStyle name="HEADINGS 2 8 2" xfId="206"/>
    <cellStyle name="HEADINGS 2 8 3" xfId="7486"/>
    <cellStyle name="HEADINGS 2 9" xfId="7487"/>
    <cellStyle name="HEADINGS 2 9 2" xfId="7488"/>
    <cellStyle name="HEADINGS 2 9 3" xfId="3018"/>
    <cellStyle name="HEADINGS 20" xfId="6315"/>
    <cellStyle name="HEADINGS 20 2" xfId="6899"/>
    <cellStyle name="HEADINGS 21" xfId="2719"/>
    <cellStyle name="HEADINGS 21 2" xfId="6318"/>
    <cellStyle name="HEADINGS 22" xfId="2723"/>
    <cellStyle name="HEADINGS 22 2" xfId="5203"/>
    <cellStyle name="HEADINGS 23" xfId="5775"/>
    <cellStyle name="HEADINGS 3" xfId="5351"/>
    <cellStyle name="HEADINGS 3 10" xfId="252"/>
    <cellStyle name="HEADINGS 3 10 2" xfId="310"/>
    <cellStyle name="HEADINGS 3 10 3" xfId="527"/>
    <cellStyle name="HEADINGS 3 11" xfId="7489"/>
    <cellStyle name="HEADINGS 3 2" xfId="7492"/>
    <cellStyle name="HEADINGS 3 2 2" xfId="4922"/>
    <cellStyle name="HEADINGS 3 2 3" xfId="4934"/>
    <cellStyle name="HEADINGS 3 3" xfId="7493"/>
    <cellStyle name="HEADINGS 3 3 2" xfId="7494"/>
    <cellStyle name="HEADINGS 3 3 3" xfId="7495"/>
    <cellStyle name="HEADINGS 3 4" xfId="7496"/>
    <cellStyle name="HEADINGS 3 4 2" xfId="7497"/>
    <cellStyle name="HEADINGS 3 4 3" xfId="7498"/>
    <cellStyle name="HEADINGS 3 5" xfId="7499"/>
    <cellStyle name="HEADINGS 3 5 2" xfId="7146"/>
    <cellStyle name="HEADINGS 3 5 3" xfId="7154"/>
    <cellStyle name="HEADINGS 3 6" xfId="4476"/>
    <cellStyle name="HEADINGS 3 6 2" xfId="7178"/>
    <cellStyle name="HEADINGS 3 6 3" xfId="7184"/>
    <cellStyle name="HEADINGS 3 7" xfId="4478"/>
    <cellStyle name="HEADINGS 3 7 2" xfId="7219"/>
    <cellStyle name="HEADINGS 3 7 3" xfId="7223"/>
    <cellStyle name="HEADINGS 3 8" xfId="7500"/>
    <cellStyle name="HEADINGS 3 8 2" xfId="7262"/>
    <cellStyle name="HEADINGS 3 8 3" xfId="7266"/>
    <cellStyle name="HEADINGS 3 9" xfId="7501"/>
    <cellStyle name="HEADINGS 3 9 2" xfId="7286"/>
    <cellStyle name="HEADINGS 3 9 3" xfId="7290"/>
    <cellStyle name="HEADINGS 4" xfId="5978"/>
    <cellStyle name="HEADINGS 4 2" xfId="6175"/>
    <cellStyle name="HEADINGS 4 3" xfId="6178"/>
    <cellStyle name="HEADINGS 5" xfId="7502"/>
    <cellStyle name="HEADINGS 5 2" xfId="7503"/>
    <cellStyle name="HEADINGS 6" xfId="7504"/>
    <cellStyle name="HEADINGS 6 2" xfId="6840"/>
    <cellStyle name="HEADINGS 7" xfId="4600"/>
    <cellStyle name="HEADINGS 7 2" xfId="2591"/>
    <cellStyle name="HEADINGS 7 3" xfId="1117"/>
    <cellStyle name="HEADINGS 8" xfId="4604"/>
    <cellStyle name="HEADINGS 8 2" xfId="7505"/>
    <cellStyle name="HEADINGS 9" xfId="7506"/>
    <cellStyle name="HEADINGS 9 2" xfId="4971"/>
    <cellStyle name="HEADINGS 9 3" xfId="4982"/>
    <cellStyle name="HEADINGSTOP" xfId="1270"/>
    <cellStyle name="HEADINGSTOP 10" xfId="7507"/>
    <cellStyle name="HEADINGSTOP 10 2" xfId="5715"/>
    <cellStyle name="HEADINGSTOP 10 3" xfId="5717"/>
    <cellStyle name="HEADINGSTOP 11" xfId="7508"/>
    <cellStyle name="HEADINGSTOP 12" xfId="7509"/>
    <cellStyle name="HEADINGSTOP 13" xfId="5894"/>
    <cellStyle name="HEADINGSTOP 14" xfId="5770"/>
    <cellStyle name="HEADINGSTOP 14 2" xfId="7510"/>
    <cellStyle name="HEADINGSTOP 14 3" xfId="7513"/>
    <cellStyle name="HEADINGSTOP 15" xfId="5579"/>
    <cellStyle name="HEADINGSTOP 16" xfId="5502"/>
    <cellStyle name="HEADINGSTOP 17" xfId="5510"/>
    <cellStyle name="HEADINGSTOP 18" xfId="5585"/>
    <cellStyle name="HEADINGSTOP 19" xfId="5594"/>
    <cellStyle name="HEADINGSTOP 2" xfId="2749"/>
    <cellStyle name="HEADINGSTOP 2 10" xfId="6449"/>
    <cellStyle name="HEADINGSTOP 2 10 2" xfId="3032"/>
    <cellStyle name="HEADINGSTOP 2 10 3" xfId="3047"/>
    <cellStyle name="HEADINGSTOP 2 2" xfId="7516"/>
    <cellStyle name="HEADINGSTOP 2 2 2" xfId="7517"/>
    <cellStyle name="HEADINGSTOP 2 2 3" xfId="1519"/>
    <cellStyle name="HEADINGSTOP 2 3" xfId="6976"/>
    <cellStyle name="HEADINGSTOP 2 3 2" xfId="7519"/>
    <cellStyle name="HEADINGSTOP 2 3 3" xfId="1137"/>
    <cellStyle name="HEADINGSTOP 2 4" xfId="4251"/>
    <cellStyle name="HEADINGSTOP 2 4 2" xfId="7521"/>
    <cellStyle name="HEADINGSTOP 2 4 3" xfId="1160"/>
    <cellStyle name="HEADINGSTOP 2 5" xfId="4254"/>
    <cellStyle name="HEADINGSTOP 2 5 2" xfId="5173"/>
    <cellStyle name="HEADINGSTOP 2 5 3" xfId="1559"/>
    <cellStyle name="HEADINGSTOP 2 6" xfId="7523"/>
    <cellStyle name="HEADINGSTOP 2 6 2" xfId="6698"/>
    <cellStyle name="HEADINGSTOP 2 6 3" xfId="2082"/>
    <cellStyle name="HEADINGSTOP 2 7" xfId="7525"/>
    <cellStyle name="HEADINGSTOP 2 7 2" xfId="7527"/>
    <cellStyle name="HEADINGSTOP 2 7 3" xfId="2119"/>
    <cellStyle name="HEADINGSTOP 2 8" xfId="7528"/>
    <cellStyle name="HEADINGSTOP 2 8 2" xfId="7530"/>
    <cellStyle name="HEADINGSTOP 2 8 3" xfId="2163"/>
    <cellStyle name="HEADINGSTOP 2 9" xfId="7531"/>
    <cellStyle name="HEADINGSTOP 2 9 2" xfId="7533"/>
    <cellStyle name="HEADINGSTOP 2 9 3" xfId="2194"/>
    <cellStyle name="HEADINGSTOP 20" xfId="5578"/>
    <cellStyle name="HEADINGSTOP 21" xfId="5501"/>
    <cellStyle name="HEADINGSTOP 22" xfId="5509"/>
    <cellStyle name="HEADINGSTOP 3" xfId="2756"/>
    <cellStyle name="HEADINGSTOP 3 10" xfId="7535"/>
    <cellStyle name="HEADINGSTOP 3 10 2" xfId="6463"/>
    <cellStyle name="HEADINGSTOP 3 10 3" xfId="7538"/>
    <cellStyle name="HEADINGSTOP 3 2" xfId="5612"/>
    <cellStyle name="HEADINGSTOP 3 2 2" xfId="7129"/>
    <cellStyle name="HEADINGSTOP 3 2 3" xfId="1599"/>
    <cellStyle name="HEADINGSTOP 3 3" xfId="7539"/>
    <cellStyle name="HEADINGSTOP 3 3 2" xfId="7541"/>
    <cellStyle name="HEADINGSTOP 3 3 3" xfId="1611"/>
    <cellStyle name="HEADINGSTOP 3 4" xfId="4259"/>
    <cellStyle name="HEADINGSTOP 3 4 2" xfId="6146"/>
    <cellStyle name="HEADINGSTOP 3 4 3" xfId="1241"/>
    <cellStyle name="HEADINGSTOP 3 5" xfId="4262"/>
    <cellStyle name="HEADINGSTOP 3 5 2" xfId="6574"/>
    <cellStyle name="HEADINGSTOP 3 5 3" xfId="1627"/>
    <cellStyle name="HEADINGSTOP 3 6" xfId="7544"/>
    <cellStyle name="HEADINGSTOP 3 6 2" xfId="3349"/>
    <cellStyle name="HEADINGSTOP 3 6 3" xfId="2387"/>
    <cellStyle name="HEADINGSTOP 3 7" xfId="7546"/>
    <cellStyle name="HEADINGSTOP 3 7 2" xfId="3382"/>
    <cellStyle name="HEADINGSTOP 3 7 3" xfId="2438"/>
    <cellStyle name="HEADINGSTOP 3 8" xfId="7548"/>
    <cellStyle name="HEADINGSTOP 3 8 2" xfId="7550"/>
    <cellStyle name="HEADINGSTOP 3 8 3" xfId="2493"/>
    <cellStyle name="HEADINGSTOP 3 9" xfId="7553"/>
    <cellStyle name="HEADINGSTOP 3 9 2" xfId="5335"/>
    <cellStyle name="HEADINGSTOP 3 9 3" xfId="2544"/>
    <cellStyle name="HEADINGSTOP 4" xfId="4042"/>
    <cellStyle name="HEADINGSTOP 4 2" xfId="7555"/>
    <cellStyle name="HEADINGSTOP 4 3" xfId="7556"/>
    <cellStyle name="HEADINGSTOP 5" xfId="1330"/>
    <cellStyle name="HEADINGSTOP 6" xfId="1337"/>
    <cellStyle name="HEADINGSTOP 7" xfId="5616"/>
    <cellStyle name="HEADINGSTOP 7 2" xfId="7557"/>
    <cellStyle name="HEADINGSTOP 7 3" xfId="7558"/>
    <cellStyle name="HEADINGSTOP 8" xfId="4187"/>
    <cellStyle name="HEADINGSTOP 9" xfId="4194"/>
    <cellStyle name="HEADINGSTOP 9 2" xfId="4540"/>
    <cellStyle name="HEADINGSTOP 9 3" xfId="4555"/>
    <cellStyle name="hhh" xfId="6153"/>
    <cellStyle name="hhh标准清单" xfId="7559"/>
    <cellStyle name="hhh标准清单 2" xfId="5313"/>
    <cellStyle name="hhh标准清单 2 2" xfId="5319"/>
    <cellStyle name="hhh标准清单 2 3" xfId="5380"/>
    <cellStyle name="hhh土建战略总包安装预埋清单" xfId="7562"/>
    <cellStyle name="Input [yellow]" xfId="7563"/>
    <cellStyle name="Input [yellow] 10" xfId="7564"/>
    <cellStyle name="Input [yellow] 10 2" xfId="7565"/>
    <cellStyle name="Input [yellow] 10 3" xfId="7568"/>
    <cellStyle name="Input [yellow] 11" xfId="7576"/>
    <cellStyle name="Input [yellow] 12" xfId="3543"/>
    <cellStyle name="Input [yellow] 12 2" xfId="6126"/>
    <cellStyle name="Input [yellow] 12 3" xfId="6131"/>
    <cellStyle name="Input [yellow] 13" xfId="7577"/>
    <cellStyle name="Input [yellow] 14" xfId="4466"/>
    <cellStyle name="Input [yellow] 15" xfId="4468"/>
    <cellStyle name="Input [yellow] 15 2" xfId="7578"/>
    <cellStyle name="Input [yellow] 15 3" xfId="7581"/>
    <cellStyle name="Input [yellow] 16" xfId="6071"/>
    <cellStyle name="Input [yellow] 16 2" xfId="7582"/>
    <cellStyle name="Input [yellow] 16 3" xfId="4500"/>
    <cellStyle name="Input [yellow] 17" xfId="6074"/>
    <cellStyle name="Input [yellow] 17 2" xfId="7588"/>
    <cellStyle name="Input [yellow] 17 3" xfId="7591"/>
    <cellStyle name="Input [yellow] 18" xfId="4429"/>
    <cellStyle name="Input [yellow] 18 2" xfId="7593"/>
    <cellStyle name="Input [yellow] 18 3" xfId="7595"/>
    <cellStyle name="Input [yellow] 19" xfId="4436"/>
    <cellStyle name="Input [yellow] 19 2" xfId="7597"/>
    <cellStyle name="Input [yellow] 19 3" xfId="7599"/>
    <cellStyle name="Input [yellow] 2" xfId="7171"/>
    <cellStyle name="Input [yellow] 2 10" xfId="5808"/>
    <cellStyle name="Input [yellow] 2 11" xfId="5812"/>
    <cellStyle name="Input [yellow] 2 11 2" xfId="7601"/>
    <cellStyle name="Input [yellow] 2 11 3" xfId="7602"/>
    <cellStyle name="Input [yellow] 2 12" xfId="5817"/>
    <cellStyle name="Input [yellow] 2 12 2" xfId="7605"/>
    <cellStyle name="Input [yellow] 2 12 3" xfId="7606"/>
    <cellStyle name="Input [yellow] 2 13" xfId="2046"/>
    <cellStyle name="Input [yellow] 2 13 2" xfId="3264"/>
    <cellStyle name="Input [yellow] 2 13 3" xfId="3270"/>
    <cellStyle name="Input [yellow] 2 14" xfId="2054"/>
    <cellStyle name="Input [yellow] 2 14 2" xfId="7607"/>
    <cellStyle name="Input [yellow] 2 14 3" xfId="7611"/>
    <cellStyle name="Input [yellow] 2 15" xfId="5825"/>
    <cellStyle name="Input [yellow] 2 15 2" xfId="7572"/>
    <cellStyle name="Input [yellow] 2 15 3" xfId="3547"/>
    <cellStyle name="Input [yellow] 2 16" xfId="5831"/>
    <cellStyle name="Input [yellow] 2 16 2" xfId="787"/>
    <cellStyle name="Input [yellow] 2 16 3" xfId="794"/>
    <cellStyle name="Input [yellow] 2 17" xfId="7616"/>
    <cellStyle name="Input [yellow] 2 17 2" xfId="7620"/>
    <cellStyle name="Input [yellow] 2 17 3" xfId="7624"/>
    <cellStyle name="Input [yellow] 2 18" xfId="7628"/>
    <cellStyle name="Input [yellow] 2 18 2" xfId="7632"/>
    <cellStyle name="Input [yellow] 2 18 3" xfId="7636"/>
    <cellStyle name="Input [yellow] 2 19" xfId="7640"/>
    <cellStyle name="Input [yellow] 2 19 2" xfId="7644"/>
    <cellStyle name="Input [yellow] 2 19 3" xfId="1480"/>
    <cellStyle name="Input [yellow] 2 2" xfId="7645"/>
    <cellStyle name="Input [yellow] 2 20" xfId="5824"/>
    <cellStyle name="Input [yellow] 2 20 2" xfId="7571"/>
    <cellStyle name="Input [yellow] 2 20 3" xfId="3548"/>
    <cellStyle name="Input [yellow] 2 21" xfId="5830"/>
    <cellStyle name="Input [yellow] 2 21 2" xfId="788"/>
    <cellStyle name="Input [yellow] 2 21 3" xfId="795"/>
    <cellStyle name="Input [yellow] 2 22" xfId="7615"/>
    <cellStyle name="Input [yellow] 2 22 2" xfId="7619"/>
    <cellStyle name="Input [yellow] 2 22 3" xfId="7623"/>
    <cellStyle name="Input [yellow] 2 23" xfId="7627"/>
    <cellStyle name="Input [yellow] 2 23 2" xfId="7631"/>
    <cellStyle name="Input [yellow] 2 23 3" xfId="7635"/>
    <cellStyle name="Input [yellow] 2 24" xfId="7639"/>
    <cellStyle name="Input [yellow] 2 24 2" xfId="7643"/>
    <cellStyle name="Input [yellow] 2 24 3" xfId="1481"/>
    <cellStyle name="Input [yellow] 2 25" xfId="7646"/>
    <cellStyle name="Input [yellow] 2 25 2" xfId="7650"/>
    <cellStyle name="Input [yellow] 2 25 3" xfId="7652"/>
    <cellStyle name="Input [yellow] 2 26" xfId="7654"/>
    <cellStyle name="Input [yellow] 2 26 2" xfId="7658"/>
    <cellStyle name="Input [yellow] 2 26 3" xfId="7660"/>
    <cellStyle name="Input [yellow] 2 27" xfId="7662"/>
    <cellStyle name="Input [yellow] 2 27 2" xfId="7664"/>
    <cellStyle name="Input [yellow] 2 27 3" xfId="7666"/>
    <cellStyle name="Input [yellow] 2 28" xfId="7668"/>
    <cellStyle name="Input [yellow] 2 28 2" xfId="7670"/>
    <cellStyle name="Input [yellow] 2 28 3" xfId="7672"/>
    <cellStyle name="Input [yellow] 2 29" xfId="7674"/>
    <cellStyle name="Input [yellow] 2 29 2" xfId="7676"/>
    <cellStyle name="Input [yellow] 2 29 3" xfId="7679"/>
    <cellStyle name="Input [yellow] 2 3" xfId="7682"/>
    <cellStyle name="Input [yellow] 2 30" xfId="7647"/>
    <cellStyle name="Input [yellow] 2 30 2" xfId="7651"/>
    <cellStyle name="Input [yellow] 2 30 3" xfId="7653"/>
    <cellStyle name="Input [yellow] 2 31" xfId="7655"/>
    <cellStyle name="Input [yellow] 2 31 2" xfId="7659"/>
    <cellStyle name="Input [yellow] 2 31 3" xfId="7661"/>
    <cellStyle name="Input [yellow] 2 32" xfId="7663"/>
    <cellStyle name="Input [yellow] 2 32 2" xfId="7665"/>
    <cellStyle name="Input [yellow] 2 32 3" xfId="7667"/>
    <cellStyle name="Input [yellow] 2 33" xfId="7669"/>
    <cellStyle name="Input [yellow] 2 33 2" xfId="7671"/>
    <cellStyle name="Input [yellow] 2 33 3" xfId="7673"/>
    <cellStyle name="Input [yellow] 2 34" xfId="7675"/>
    <cellStyle name="Input [yellow] 2 34 2" xfId="7677"/>
    <cellStyle name="Input [yellow] 2 34 3" xfId="7680"/>
    <cellStyle name="Input [yellow] 2 35" xfId="7683"/>
    <cellStyle name="Input [yellow] 2 35 2" xfId="7685"/>
    <cellStyle name="Input [yellow] 2 35 3" xfId="7688"/>
    <cellStyle name="Input [yellow] 2 36" xfId="7691"/>
    <cellStyle name="Input [yellow] 2 36 2" xfId="7693"/>
    <cellStyle name="Input [yellow] 2 36 3" xfId="7696"/>
    <cellStyle name="Input [yellow] 2 37" xfId="7700"/>
    <cellStyle name="Input [yellow] 2 37 2" xfId="7702"/>
    <cellStyle name="Input [yellow] 2 37 3" xfId="7704"/>
    <cellStyle name="Input [yellow] 2 38" xfId="7706"/>
    <cellStyle name="Input [yellow] 2 38 2" xfId="7708"/>
    <cellStyle name="Input [yellow] 2 38 3" xfId="7710"/>
    <cellStyle name="Input [yellow] 2 39" xfId="7712"/>
    <cellStyle name="Input [yellow] 2 39 2" xfId="7714"/>
    <cellStyle name="Input [yellow] 2 39 3" xfId="7716"/>
    <cellStyle name="Input [yellow] 2 4" xfId="7718"/>
    <cellStyle name="Input [yellow] 2 40" xfId="7684"/>
    <cellStyle name="Input [yellow] 2 40 2" xfId="7686"/>
    <cellStyle name="Input [yellow] 2 40 3" xfId="7689"/>
    <cellStyle name="Input [yellow] 2 41" xfId="7692"/>
    <cellStyle name="Input [yellow] 2 41 2" xfId="7694"/>
    <cellStyle name="Input [yellow] 2 41 3" xfId="7697"/>
    <cellStyle name="Input [yellow] 2 42" xfId="7701"/>
    <cellStyle name="Input [yellow] 2 42 2" xfId="7703"/>
    <cellStyle name="Input [yellow] 2 42 3" xfId="7705"/>
    <cellStyle name="Input [yellow] 2 43" xfId="7707"/>
    <cellStyle name="Input [yellow] 2 43 2" xfId="7709"/>
    <cellStyle name="Input [yellow] 2 43 3" xfId="7711"/>
    <cellStyle name="Input [yellow] 2 44" xfId="7713"/>
    <cellStyle name="Input [yellow] 2 44 2" xfId="7715"/>
    <cellStyle name="Input [yellow] 2 44 3" xfId="7717"/>
    <cellStyle name="Input [yellow] 2 45" xfId="7721"/>
    <cellStyle name="Input [yellow] 2 45 2" xfId="7723"/>
    <cellStyle name="Input [yellow] 2 45 3" xfId="7725"/>
    <cellStyle name="Input [yellow] 2 46" xfId="7727"/>
    <cellStyle name="Input [yellow] 2 46 2" xfId="7729"/>
    <cellStyle name="Input [yellow] 2 46 3" xfId="7732"/>
    <cellStyle name="Input [yellow] 2 47" xfId="7734"/>
    <cellStyle name="Input [yellow] 2 47 2" xfId="7736"/>
    <cellStyle name="Input [yellow] 2 47 3" xfId="7738"/>
    <cellStyle name="Input [yellow] 2 48" xfId="7740"/>
    <cellStyle name="Input [yellow] 2 48 2" xfId="7742"/>
    <cellStyle name="Input [yellow] 2 48 3" xfId="7744"/>
    <cellStyle name="Input [yellow] 2 49" xfId="7746"/>
    <cellStyle name="Input [yellow] 2 49 2" xfId="7750"/>
    <cellStyle name="Input [yellow] 2 49 3" xfId="7754"/>
    <cellStyle name="Input [yellow] 2 5" xfId="7759"/>
    <cellStyle name="Input [yellow] 2 50" xfId="7722"/>
    <cellStyle name="Input [yellow] 2 50 2" xfId="7724"/>
    <cellStyle name="Input [yellow] 2 50 3" xfId="7726"/>
    <cellStyle name="Input [yellow] 2 51" xfId="7728"/>
    <cellStyle name="Input [yellow] 2 51 2" xfId="7730"/>
    <cellStyle name="Input [yellow] 2 51 3" xfId="7733"/>
    <cellStyle name="Input [yellow] 2 52" xfId="7735"/>
    <cellStyle name="Input [yellow] 2 52 2" xfId="7737"/>
    <cellStyle name="Input [yellow] 2 52 3" xfId="7739"/>
    <cellStyle name="Input [yellow] 2 53" xfId="7741"/>
    <cellStyle name="Input [yellow] 2 53 2" xfId="7743"/>
    <cellStyle name="Input [yellow] 2 53 3" xfId="7745"/>
    <cellStyle name="Input [yellow] 2 54" xfId="7747"/>
    <cellStyle name="Input [yellow] 2 54 2" xfId="7751"/>
    <cellStyle name="Input [yellow] 2 54 3" xfId="7755"/>
    <cellStyle name="Input [yellow] 2 55" xfId="7760"/>
    <cellStyle name="Input [yellow] 2 55 2" xfId="7764"/>
    <cellStyle name="Input [yellow] 2 55 3" xfId="7768"/>
    <cellStyle name="Input [yellow] 2 56" xfId="7775"/>
    <cellStyle name="Input [yellow] 2 56 2" xfId="7779"/>
    <cellStyle name="Input [yellow] 2 56 3" xfId="7782"/>
    <cellStyle name="Input [yellow] 2 57" xfId="7787"/>
    <cellStyle name="Input [yellow] 2 57 2" xfId="7791"/>
    <cellStyle name="Input [yellow] 2 57 3" xfId="7794"/>
    <cellStyle name="Input [yellow] 2 58" xfId="7797"/>
    <cellStyle name="Input [yellow] 2 58 2" xfId="7801"/>
    <cellStyle name="Input [yellow] 2 58 3" xfId="7803"/>
    <cellStyle name="Input [yellow] 2 59" xfId="7807"/>
    <cellStyle name="Input [yellow] 2 59 2" xfId="7811"/>
    <cellStyle name="Input [yellow] 2 59 3" xfId="7815"/>
    <cellStyle name="Input [yellow] 2 6" xfId="7819"/>
    <cellStyle name="Input [yellow] 2 60" xfId="7761"/>
    <cellStyle name="Input [yellow] 2 60 2" xfId="7765"/>
    <cellStyle name="Input [yellow] 2 60 3" xfId="7769"/>
    <cellStyle name="Input [yellow] 2 61" xfId="7776"/>
    <cellStyle name="Input [yellow] 2 61 2" xfId="7780"/>
    <cellStyle name="Input [yellow] 2 61 3" xfId="7783"/>
    <cellStyle name="Input [yellow] 2 62" xfId="7788"/>
    <cellStyle name="Input [yellow] 2 62 2" xfId="7792"/>
    <cellStyle name="Input [yellow] 2 62 3" xfId="7795"/>
    <cellStyle name="Input [yellow] 2 63" xfId="7798"/>
    <cellStyle name="Input [yellow] 2 63 2" xfId="7802"/>
    <cellStyle name="Input [yellow] 2 63 3" xfId="7804"/>
    <cellStyle name="Input [yellow] 2 64" xfId="7808"/>
    <cellStyle name="Input [yellow] 2 64 2" xfId="7812"/>
    <cellStyle name="Input [yellow] 2 64 3" xfId="7816"/>
    <cellStyle name="Input [yellow] 2 65" xfId="7822"/>
    <cellStyle name="Input [yellow] 2 65 2" xfId="7826"/>
    <cellStyle name="Input [yellow] 2 65 3" xfId="7830"/>
    <cellStyle name="Input [yellow] 2 66" xfId="7834"/>
    <cellStyle name="Input [yellow] 2 66 2" xfId="7838"/>
    <cellStyle name="Input [yellow] 2 66 3" xfId="7840"/>
    <cellStyle name="Input [yellow] 2 67" xfId="7842"/>
    <cellStyle name="Input [yellow] 2 67 2" xfId="7846"/>
    <cellStyle name="Input [yellow] 2 67 3" xfId="7850"/>
    <cellStyle name="Input [yellow] 2 68" xfId="7854"/>
    <cellStyle name="Input [yellow] 2 68 2" xfId="7858"/>
    <cellStyle name="Input [yellow] 2 68 3" xfId="7862"/>
    <cellStyle name="Input [yellow] 2 69" xfId="7866"/>
    <cellStyle name="Input [yellow] 2 69 2" xfId="7870"/>
    <cellStyle name="Input [yellow] 2 69 3" xfId="7871"/>
    <cellStyle name="Input [yellow] 2 7" xfId="7872"/>
    <cellStyle name="Input [yellow] 2 70" xfId="7823"/>
    <cellStyle name="Input [yellow] 2 70 2" xfId="7827"/>
    <cellStyle name="Input [yellow] 2 70 3" xfId="7831"/>
    <cellStyle name="Input [yellow] 2 71" xfId="7835"/>
    <cellStyle name="Input [yellow] 2 71 2" xfId="7839"/>
    <cellStyle name="Input [yellow] 2 71 3" xfId="7841"/>
    <cellStyle name="Input [yellow] 2 72" xfId="7843"/>
    <cellStyle name="Input [yellow] 2 72 2" xfId="7847"/>
    <cellStyle name="Input [yellow] 2 72 3" xfId="7851"/>
    <cellStyle name="Input [yellow] 2 73" xfId="7855"/>
    <cellStyle name="Input [yellow] 2 73 2" xfId="7859"/>
    <cellStyle name="Input [yellow] 2 73 3" xfId="7863"/>
    <cellStyle name="Input [yellow] 2 74" xfId="7867"/>
    <cellStyle name="Input [yellow] 2 75" xfId="7873"/>
    <cellStyle name="Input [yellow] 2 8" xfId="7876"/>
    <cellStyle name="Input [yellow] 2 9" xfId="7878"/>
    <cellStyle name="Input [yellow] 20" xfId="4469"/>
    <cellStyle name="Input [yellow] 21" xfId="6072"/>
    <cellStyle name="Input [yellow] 21 2" xfId="7583"/>
    <cellStyle name="Input [yellow] 21 3" xfId="4501"/>
    <cellStyle name="Input [yellow] 22" xfId="6075"/>
    <cellStyle name="Input [yellow] 22 2" xfId="7589"/>
    <cellStyle name="Input [yellow] 22 3" xfId="7592"/>
    <cellStyle name="Input [yellow] 23" xfId="4430"/>
    <cellStyle name="Input [yellow] 23 2" xfId="7594"/>
    <cellStyle name="Input [yellow] 23 3" xfId="7596"/>
    <cellStyle name="Input [yellow] 24" xfId="4437"/>
    <cellStyle name="Input [yellow] 24 2" xfId="7598"/>
    <cellStyle name="Input [yellow] 24 3" xfId="7600"/>
    <cellStyle name="Input [yellow] 25" xfId="7879"/>
    <cellStyle name="Input [yellow] 25 2" xfId="7881"/>
    <cellStyle name="Input [yellow] 25 3" xfId="7883"/>
    <cellStyle name="Input [yellow] 26" xfId="7885"/>
    <cellStyle name="Input [yellow] 26 2" xfId="7887"/>
    <cellStyle name="Input [yellow] 26 3" xfId="7889"/>
    <cellStyle name="Input [yellow] 27" xfId="7891"/>
    <cellStyle name="Input [yellow] 27 2" xfId="7893"/>
    <cellStyle name="Input [yellow] 27 3" xfId="7895"/>
    <cellStyle name="Input [yellow] 28" xfId="7897"/>
    <cellStyle name="Input [yellow] 28 2" xfId="7899"/>
    <cellStyle name="Input [yellow] 28 3" xfId="7901"/>
    <cellStyle name="Input [yellow] 29" xfId="7903"/>
    <cellStyle name="Input [yellow] 29 2" xfId="7905"/>
    <cellStyle name="Input [yellow] 29 3" xfId="7907"/>
    <cellStyle name="Input [yellow] 3" xfId="7909"/>
    <cellStyle name="Input [yellow] 3 10" xfId="7910"/>
    <cellStyle name="Input [yellow] 3 11" xfId="7911"/>
    <cellStyle name="Input [yellow] 3 12" xfId="7912"/>
    <cellStyle name="Input [yellow] 3 2" xfId="7913"/>
    <cellStyle name="Input [yellow] 3 3" xfId="7914"/>
    <cellStyle name="Input [yellow] 3 4" xfId="7915"/>
    <cellStyle name="Input [yellow] 3 5" xfId="7916"/>
    <cellStyle name="Input [yellow] 3 6" xfId="7917"/>
    <cellStyle name="Input [yellow] 3 7" xfId="7918"/>
    <cellStyle name="Input [yellow] 3 8" xfId="7919"/>
    <cellStyle name="Input [yellow] 3 9" xfId="7920"/>
    <cellStyle name="Input [yellow] 30" xfId="7880"/>
    <cellStyle name="Input [yellow] 30 2" xfId="7882"/>
    <cellStyle name="Input [yellow] 30 3" xfId="7884"/>
    <cellStyle name="Input [yellow] 31" xfId="7886"/>
    <cellStyle name="Input [yellow] 31 2" xfId="7888"/>
    <cellStyle name="Input [yellow] 31 3" xfId="7890"/>
    <cellStyle name="Input [yellow] 32" xfId="7892"/>
    <cellStyle name="Input [yellow] 32 2" xfId="7894"/>
    <cellStyle name="Input [yellow] 32 3" xfId="7896"/>
    <cellStyle name="Input [yellow] 33" xfId="7898"/>
    <cellStyle name="Input [yellow] 33 2" xfId="7900"/>
    <cellStyle name="Input [yellow] 33 3" xfId="7902"/>
    <cellStyle name="Input [yellow] 34" xfId="7904"/>
    <cellStyle name="Input [yellow] 34 2" xfId="7906"/>
    <cellStyle name="Input [yellow] 34 3" xfId="7908"/>
    <cellStyle name="Input [yellow] 35" xfId="7921"/>
    <cellStyle name="Input [yellow] 35 2" xfId="7923"/>
    <cellStyle name="Input [yellow] 35 3" xfId="7925"/>
    <cellStyle name="Input [yellow] 36" xfId="448"/>
    <cellStyle name="Input [yellow] 36 2" xfId="460"/>
    <cellStyle name="Input [yellow] 36 3" xfId="489"/>
    <cellStyle name="Input [yellow] 37" xfId="499"/>
    <cellStyle name="Input [yellow] 37 2" xfId="7927"/>
    <cellStyle name="Input [yellow] 37 3" xfId="7931"/>
    <cellStyle name="Input [yellow] 38" xfId="1092"/>
    <cellStyle name="Input [yellow] 38 2" xfId="7935"/>
    <cellStyle name="Input [yellow] 38 3" xfId="7937"/>
    <cellStyle name="Input [yellow] 39" xfId="732"/>
    <cellStyle name="Input [yellow] 39 2" xfId="7939"/>
    <cellStyle name="Input [yellow] 39 3" xfId="7941"/>
    <cellStyle name="Input [yellow] 4" xfId="7943"/>
    <cellStyle name="Input [yellow] 40" xfId="7922"/>
    <cellStyle name="Input [yellow] 40 2" xfId="7924"/>
    <cellStyle name="Input [yellow] 40 3" xfId="7926"/>
    <cellStyle name="Input [yellow] 41" xfId="449"/>
    <cellStyle name="Input [yellow] 41 2" xfId="461"/>
    <cellStyle name="Input [yellow] 41 3" xfId="488"/>
    <cellStyle name="Input [yellow] 42" xfId="498"/>
    <cellStyle name="Input [yellow] 42 2" xfId="7928"/>
    <cellStyle name="Input [yellow] 42 3" xfId="7932"/>
    <cellStyle name="Input [yellow] 43" xfId="1091"/>
    <cellStyle name="Input [yellow] 43 2" xfId="7936"/>
    <cellStyle name="Input [yellow] 43 3" xfId="7938"/>
    <cellStyle name="Input [yellow] 44" xfId="731"/>
    <cellStyle name="Input [yellow] 44 2" xfId="7940"/>
    <cellStyle name="Input [yellow] 44 3" xfId="7942"/>
    <cellStyle name="Input [yellow] 45" xfId="741"/>
    <cellStyle name="Input [yellow] 45 2" xfId="7944"/>
    <cellStyle name="Input [yellow] 45 3" xfId="5849"/>
    <cellStyle name="Input [yellow] 46" xfId="751"/>
    <cellStyle name="Input [yellow] 46 2" xfId="1100"/>
    <cellStyle name="Input [yellow] 46 3" xfId="1108"/>
    <cellStyle name="Input [yellow] 47" xfId="761"/>
    <cellStyle name="Input [yellow] 47 2" xfId="1111"/>
    <cellStyle name="Input [yellow] 47 3" xfId="1123"/>
    <cellStyle name="Input [yellow] 48" xfId="767"/>
    <cellStyle name="Input [yellow] 48 2" xfId="7948"/>
    <cellStyle name="Input [yellow] 48 3" xfId="5898"/>
    <cellStyle name="Input [yellow] 49" xfId="773"/>
    <cellStyle name="Input [yellow] 49 2" xfId="7950"/>
    <cellStyle name="Input [yellow] 49 3" xfId="4989"/>
    <cellStyle name="Input [yellow] 5" xfId="7952"/>
    <cellStyle name="Input [yellow] 5 2" xfId="7953"/>
    <cellStyle name="Input [yellow] 5 3" xfId="7954"/>
    <cellStyle name="Input [yellow] 50" xfId="740"/>
    <cellStyle name="Input [yellow] 50 2" xfId="7945"/>
    <cellStyle name="Input [yellow] 50 3" xfId="5850"/>
    <cellStyle name="Input [yellow] 51" xfId="750"/>
    <cellStyle name="Input [yellow] 51 2" xfId="1099"/>
    <cellStyle name="Input [yellow] 51 3" xfId="1107"/>
    <cellStyle name="Input [yellow] 52" xfId="760"/>
    <cellStyle name="Input [yellow] 52 2" xfId="1110"/>
    <cellStyle name="Input [yellow] 52 3" xfId="1122"/>
    <cellStyle name="Input [yellow] 53" xfId="766"/>
    <cellStyle name="Input [yellow] 53 2" xfId="7949"/>
    <cellStyle name="Input [yellow] 53 3" xfId="5899"/>
    <cellStyle name="Input [yellow] 54" xfId="772"/>
    <cellStyle name="Input [yellow] 54 2" xfId="7951"/>
    <cellStyle name="Input [yellow] 54 3" xfId="4990"/>
    <cellStyle name="Input [yellow] 55" xfId="779"/>
    <cellStyle name="Input [yellow] 55 2" xfId="7955"/>
    <cellStyle name="Input [yellow] 55 3" xfId="5032"/>
    <cellStyle name="Input [yellow] 56" xfId="785"/>
    <cellStyle name="Input [yellow] 56 2" xfId="7957"/>
    <cellStyle name="Input [yellow] 56 2 2 3" xfId="711"/>
    <cellStyle name="Input [yellow] 56 3" xfId="7959"/>
    <cellStyle name="Input [yellow] 57" xfId="792"/>
    <cellStyle name="Input [yellow] 57 2" xfId="7961"/>
    <cellStyle name="Input [yellow] 57 3" xfId="7963"/>
    <cellStyle name="Input [yellow] 58" xfId="799"/>
    <cellStyle name="Input [yellow] 58 2" xfId="7965"/>
    <cellStyle name="Input [yellow] 58 3" xfId="7967"/>
    <cellStyle name="Input [yellow] 59" xfId="841"/>
    <cellStyle name="Input [yellow] 59 2" xfId="7969"/>
    <cellStyle name="Input [yellow] 59 3" xfId="7971"/>
    <cellStyle name="Input [yellow] 6" xfId="7973"/>
    <cellStyle name="Input [yellow] 6 2" xfId="7974"/>
    <cellStyle name="Input [yellow] 6 3" xfId="7975"/>
    <cellStyle name="Input [yellow] 60" xfId="778"/>
    <cellStyle name="Input [yellow] 60 2" xfId="7956"/>
    <cellStyle name="Input [yellow] 60 3" xfId="5033"/>
    <cellStyle name="Input [yellow] 61" xfId="784"/>
    <cellStyle name="Input [yellow] 61 2" xfId="7958"/>
    <cellStyle name="Input [yellow] 61 3" xfId="7960"/>
    <cellStyle name="Input [yellow] 62" xfId="791"/>
    <cellStyle name="Input [yellow] 62 2" xfId="7962"/>
    <cellStyle name="Input [yellow] 62 3" xfId="7964"/>
    <cellStyle name="Input [yellow] 63" xfId="798"/>
    <cellStyle name="Input [yellow] 63 2" xfId="7966"/>
    <cellStyle name="Input [yellow] 63 3" xfId="7968"/>
    <cellStyle name="Input [yellow] 64" xfId="840"/>
    <cellStyle name="Input [yellow] 64 2" xfId="7970"/>
    <cellStyle name="Input [yellow] 64 3" xfId="7972"/>
    <cellStyle name="Input [yellow] 65" xfId="845"/>
    <cellStyle name="Input [yellow] 65 2" xfId="7976"/>
    <cellStyle name="Input [yellow] 65 3" xfId="7980"/>
    <cellStyle name="Input [yellow] 66" xfId="7982"/>
    <cellStyle name="Input [yellow] 66 2" xfId="7984"/>
    <cellStyle name="Input [yellow] 66 3" xfId="7989"/>
    <cellStyle name="Input [yellow] 67" xfId="7991"/>
    <cellStyle name="Input [yellow] 67 2" xfId="7993"/>
    <cellStyle name="Input [yellow] 67 3" xfId="7996"/>
    <cellStyle name="Input [yellow] 68" xfId="7998"/>
    <cellStyle name="Input [yellow] 68 2" xfId="8000"/>
    <cellStyle name="Input [yellow] 68 3" xfId="8002"/>
    <cellStyle name="Input [yellow] 69" xfId="8004"/>
    <cellStyle name="Input [yellow] 69 2" xfId="8006"/>
    <cellStyle name="Input [yellow] 69 3" xfId="8009"/>
    <cellStyle name="Input [yellow] 7" xfId="8012"/>
    <cellStyle name="Input [yellow] 7 2" xfId="8013"/>
    <cellStyle name="Input [yellow] 7 3" xfId="8014"/>
    <cellStyle name="Input [yellow] 70" xfId="844"/>
    <cellStyle name="Input [yellow] 70 2" xfId="7977"/>
    <cellStyle name="Input [yellow] 70 3" xfId="7981"/>
    <cellStyle name="Input [yellow] 71" xfId="7983"/>
    <cellStyle name="Input [yellow] 71 2" xfId="7985"/>
    <cellStyle name="Input [yellow] 71 3" xfId="7990"/>
    <cellStyle name="Input [yellow] 72" xfId="7992"/>
    <cellStyle name="Input [yellow] 72 2" xfId="7994"/>
    <cellStyle name="Input [yellow] 72 3" xfId="7997"/>
    <cellStyle name="Input [yellow] 73" xfId="7999"/>
    <cellStyle name="Input [yellow] 73 2" xfId="8001"/>
    <cellStyle name="Input [yellow] 73 3" xfId="8003"/>
    <cellStyle name="Input [yellow] 74" xfId="8005"/>
    <cellStyle name="Input [yellow] 74 2" xfId="8007"/>
    <cellStyle name="Input [yellow] 74 3" xfId="8010"/>
    <cellStyle name="Input [yellow] 75" xfId="8015"/>
    <cellStyle name="Input [yellow] 75 2" xfId="8017"/>
    <cellStyle name="Input [yellow] 75 3" xfId="8019"/>
    <cellStyle name="Input [yellow] 76" xfId="8021"/>
    <cellStyle name="Input [yellow] 76 2" xfId="8023"/>
    <cellStyle name="Input [yellow] 76 3" xfId="8025"/>
    <cellStyle name="Input [yellow] 77" xfId="8027"/>
    <cellStyle name="Input [yellow] 77 2" xfId="8030"/>
    <cellStyle name="Input [yellow] 77 3" xfId="8032"/>
    <cellStyle name="Input [yellow] 78" xfId="8034"/>
    <cellStyle name="Input [yellow] 78 2" xfId="8036"/>
    <cellStyle name="Input [yellow] 78 3" xfId="8038"/>
    <cellStyle name="Input [yellow] 79" xfId="8040"/>
    <cellStyle name="Input [yellow] 79 2" xfId="8042"/>
    <cellStyle name="Input [yellow] 79 3" xfId="8044"/>
    <cellStyle name="Input [yellow] 8" xfId="8046"/>
    <cellStyle name="Input [yellow] 8 2" xfId="8047"/>
    <cellStyle name="Input [yellow] 8 3" xfId="8048"/>
    <cellStyle name="Input [yellow] 80" xfId="8016"/>
    <cellStyle name="Input [yellow] 80 2" xfId="8018"/>
    <cellStyle name="Input [yellow] 80 3" xfId="8020"/>
    <cellStyle name="Input [yellow] 81" xfId="8022"/>
    <cellStyle name="Input [yellow] 81 2" xfId="8024"/>
    <cellStyle name="Input [yellow] 81 3" xfId="8026"/>
    <cellStyle name="Input [yellow] 82" xfId="8028"/>
    <cellStyle name="Input [yellow] 82 2" xfId="8031"/>
    <cellStyle name="Input [yellow] 82 3" xfId="8033"/>
    <cellStyle name="Input [yellow] 83" xfId="8035"/>
    <cellStyle name="Input [yellow] 83 2" xfId="8037"/>
    <cellStyle name="Input [yellow] 83 3" xfId="8039"/>
    <cellStyle name="Input [yellow] 84" xfId="8041"/>
    <cellStyle name="Input [yellow] 84 2" xfId="8043"/>
    <cellStyle name="Input [yellow] 84 3" xfId="8045"/>
    <cellStyle name="Input [yellow] 85" xfId="8049"/>
    <cellStyle name="Input [yellow] 85 2" xfId="8051"/>
    <cellStyle name="Input [yellow] 85 3" xfId="8054"/>
    <cellStyle name="Input [yellow] 86" xfId="8056"/>
    <cellStyle name="Input [yellow] 86 2" xfId="8060"/>
    <cellStyle name="Input [yellow] 86 3" xfId="8065"/>
    <cellStyle name="Input [yellow] 87" xfId="8069"/>
    <cellStyle name="Input [yellow] 87 2" xfId="8073"/>
    <cellStyle name="Input [yellow] 87 3" xfId="8077"/>
    <cellStyle name="Input [yellow] 88" xfId="8081"/>
    <cellStyle name="Input [yellow] 88 2" xfId="6059"/>
    <cellStyle name="Input [yellow] 88 3" xfId="6061"/>
    <cellStyle name="Input [yellow] 89" xfId="8085"/>
    <cellStyle name="Input [yellow] 89 2" xfId="6063"/>
    <cellStyle name="Input [yellow] 89 3" xfId="6065"/>
    <cellStyle name="Input [yellow] 9" xfId="8089"/>
    <cellStyle name="Input [yellow] 9 2" xfId="8090"/>
    <cellStyle name="Input [yellow] 9 3" xfId="8091"/>
    <cellStyle name="Input [yellow] 90" xfId="8050"/>
    <cellStyle name="Input [yellow] 90 2" xfId="8052"/>
    <cellStyle name="Input [yellow] 90 3" xfId="8055"/>
    <cellStyle name="Input [yellow] 91" xfId="8057"/>
    <cellStyle name="Input [yellow] 91 2" xfId="8061"/>
    <cellStyle name="Input [yellow] 91 3" xfId="8066"/>
    <cellStyle name="Input [yellow] 92" xfId="8070"/>
    <cellStyle name="Input [yellow] 92 2" xfId="8074"/>
    <cellStyle name="Input [yellow] 92 3" xfId="8078"/>
    <cellStyle name="Input [yellow] 93" xfId="8082"/>
    <cellStyle name="Input [yellow] 94" xfId="8086"/>
    <cellStyle name="Input Cells" xfId="8092"/>
    <cellStyle name="Input Cells 10" xfId="8095"/>
    <cellStyle name="Input Cells 10 2" xfId="8096"/>
    <cellStyle name="Input Cells 10 3" xfId="8098"/>
    <cellStyle name="Input Cells 11" xfId="8100"/>
    <cellStyle name="Input Cells 12" xfId="8101"/>
    <cellStyle name="Input Cells 13" xfId="8102"/>
    <cellStyle name="Input Cells 14" xfId="8103"/>
    <cellStyle name="Input Cells 15" xfId="8104"/>
    <cellStyle name="Input Cells 15 2" xfId="8106"/>
    <cellStyle name="Input Cells 15 3" xfId="8107"/>
    <cellStyle name="Input Cells 16" xfId="8109"/>
    <cellStyle name="Input Cells 16 2" xfId="8111"/>
    <cellStyle name="Input Cells 16 3" xfId="8113"/>
    <cellStyle name="Input Cells 17" xfId="8116"/>
    <cellStyle name="Input Cells 18" xfId="8118"/>
    <cellStyle name="Input Cells 19" xfId="8120"/>
    <cellStyle name="Input Cells 2" xfId="8123"/>
    <cellStyle name="Input Cells 2 10" xfId="8126"/>
    <cellStyle name="Input Cells 2 2" xfId="8128"/>
    <cellStyle name="Input Cells 2 3" xfId="8133"/>
    <cellStyle name="Input Cells 2 4" xfId="8140"/>
    <cellStyle name="Input Cells 2 5" xfId="8145"/>
    <cellStyle name="Input Cells 2 6" xfId="8150"/>
    <cellStyle name="Input Cells 2 7" xfId="8154"/>
    <cellStyle name="Input Cells 2 8" xfId="8155"/>
    <cellStyle name="Input Cells 2 9" xfId="8156"/>
    <cellStyle name="Input Cells 20" xfId="8105"/>
    <cellStyle name="Input Cells 21" xfId="8110"/>
    <cellStyle name="Input Cells 21 2" xfId="8112"/>
    <cellStyle name="Input Cells 21 3" xfId="8114"/>
    <cellStyle name="Input Cells 22" xfId="8117"/>
    <cellStyle name="Input Cells 22 2" xfId="8157"/>
    <cellStyle name="Input Cells 22 3" xfId="8158"/>
    <cellStyle name="Input Cells 23" xfId="8119"/>
    <cellStyle name="Input Cells 23 2" xfId="8160"/>
    <cellStyle name="Input Cells 23 3" xfId="8161"/>
    <cellStyle name="Input Cells 24" xfId="8121"/>
    <cellStyle name="Input Cells 24 2" xfId="8163"/>
    <cellStyle name="Input Cells 24 3" xfId="8164"/>
    <cellStyle name="Input Cells 25" xfId="8166"/>
    <cellStyle name="Input Cells 25 2" xfId="3405"/>
    <cellStyle name="Input Cells 25 3" xfId="8168"/>
    <cellStyle name="Input Cells 26" xfId="8170"/>
    <cellStyle name="Input Cells 26 2" xfId="8172"/>
    <cellStyle name="Input Cells 26 3" xfId="8173"/>
    <cellStyle name="Input Cells 27" xfId="8175"/>
    <cellStyle name="Input Cells 27 2" xfId="8177"/>
    <cellStyle name="Input Cells 27 3" xfId="8178"/>
    <cellStyle name="Input Cells 28" xfId="8179"/>
    <cellStyle name="Input Cells 28 2" xfId="8181"/>
    <cellStyle name="Input Cells 28 3" xfId="8182"/>
    <cellStyle name="Input Cells 29" xfId="8183"/>
    <cellStyle name="Input Cells 29 2" xfId="8186"/>
    <cellStyle name="Input Cells 29 3" xfId="8187"/>
    <cellStyle name="Input Cells 3" xfId="8188"/>
    <cellStyle name="Input Cells 3 10" xfId="8189"/>
    <cellStyle name="Input Cells 3 11" xfId="8190"/>
    <cellStyle name="Input Cells 3 12" xfId="8191"/>
    <cellStyle name="Input Cells 3 2" xfId="8192"/>
    <cellStyle name="Input Cells 3 3" xfId="8197"/>
    <cellStyle name="Input Cells 3 4" xfId="8202"/>
    <cellStyle name="Input Cells 3 5" xfId="8207"/>
    <cellStyle name="Input Cells 3 6" xfId="8212"/>
    <cellStyle name="Input Cells 3 7" xfId="8215"/>
    <cellStyle name="Input Cells 3 8" xfId="8216"/>
    <cellStyle name="Input Cells 3 9" xfId="8217"/>
    <cellStyle name="Input Cells 4" xfId="8218"/>
    <cellStyle name="Input Cells 5" xfId="8219"/>
    <cellStyle name="Input Cells 5 2" xfId="8223"/>
    <cellStyle name="Input Cells 5 3" xfId="8229"/>
    <cellStyle name="Input Cells 6" xfId="8232"/>
    <cellStyle name="Input Cells 6 2" xfId="8235"/>
    <cellStyle name="Input Cells 6 3" xfId="8238"/>
    <cellStyle name="Input Cells 7" xfId="8242"/>
    <cellStyle name="Input Cells 7 2" xfId="8243"/>
    <cellStyle name="Input Cells 7 3" xfId="8246"/>
    <cellStyle name="Input Cells 8" xfId="8252"/>
    <cellStyle name="Input Cells 9" xfId="8253"/>
    <cellStyle name="Jun" xfId="8254"/>
    <cellStyle name="Jun 10" xfId="8255"/>
    <cellStyle name="Jun 10 2" xfId="8258"/>
    <cellStyle name="Jun 10 3" xfId="8262"/>
    <cellStyle name="Jun 11" xfId="8265"/>
    <cellStyle name="Jun 12" xfId="8266"/>
    <cellStyle name="Jun 13" xfId="8267"/>
    <cellStyle name="Jun 14" xfId="8268"/>
    <cellStyle name="Jun 14 2" xfId="8269"/>
    <cellStyle name="Jun 14 3" xfId="8271"/>
    <cellStyle name="Jun 15" xfId="8273"/>
    <cellStyle name="Jun 16" xfId="8275"/>
    <cellStyle name="Jun 17" xfId="8279"/>
    <cellStyle name="Jun 18" xfId="8283"/>
    <cellStyle name="Jun 19" xfId="5735"/>
    <cellStyle name="Jun 2" xfId="8286"/>
    <cellStyle name="Jun 2 10" xfId="8287"/>
    <cellStyle name="Jun 2 10 2" xfId="8291"/>
    <cellStyle name="Jun 2 10 3" xfId="8292"/>
    <cellStyle name="Jun 2 2" xfId="8294"/>
    <cellStyle name="Jun 2 2 2" xfId="8295"/>
    <cellStyle name="Jun 2 2 3" xfId="8297"/>
    <cellStyle name="Jun 2 3" xfId="8299"/>
    <cellStyle name="Jun 2 3 2" xfId="8300"/>
    <cellStyle name="Jun 2 3 3" xfId="8302"/>
    <cellStyle name="Jun 2 4" xfId="8304"/>
    <cellStyle name="Jun 2 4 2" xfId="8305"/>
    <cellStyle name="Jun 2 4 3" xfId="8307"/>
    <cellStyle name="Jun 2 5" xfId="8309"/>
    <cellStyle name="Jun 2 5 2" xfId="8310"/>
    <cellStyle name="Jun 2 5 3" xfId="8315"/>
    <cellStyle name="Jun 2 6" xfId="8319"/>
    <cellStyle name="Jun 2 6 2" xfId="8320"/>
    <cellStyle name="Jun 2 6 3" xfId="8326"/>
    <cellStyle name="Jun 2 7" xfId="8331"/>
    <cellStyle name="Jun 2 7 2" xfId="8332"/>
    <cellStyle name="Jun 2 7 3" xfId="8335"/>
    <cellStyle name="Jun 2 8" xfId="8338"/>
    <cellStyle name="Jun 2 8 2" xfId="8340"/>
    <cellStyle name="Jun 2 8 3" xfId="8344"/>
    <cellStyle name="Jun 2 9" xfId="8347"/>
    <cellStyle name="Jun 2 9 2" xfId="8349"/>
    <cellStyle name="Jun 2 9 3" xfId="8353"/>
    <cellStyle name="Jun 20" xfId="8274"/>
    <cellStyle name="Jun 21" xfId="8276"/>
    <cellStyle name="Jun 22" xfId="8280"/>
    <cellStyle name="Jun 3" xfId="8356"/>
    <cellStyle name="Jun 3 10" xfId="8357"/>
    <cellStyle name="Jun 3 10 2" xfId="8361"/>
    <cellStyle name="Jun 3 10 3" xfId="8362"/>
    <cellStyle name="Jun 3 2" xfId="8363"/>
    <cellStyle name="Jun 3 2 2" xfId="8366"/>
    <cellStyle name="Jun 3 2 3" xfId="8371"/>
    <cellStyle name="Jun 3 3" xfId="8374"/>
    <cellStyle name="Jun 3 3 2" xfId="8377"/>
    <cellStyle name="Jun 3 3 3" xfId="8382"/>
    <cellStyle name="Jun 3 4" xfId="8385"/>
    <cellStyle name="Jun 3 4 2" xfId="8388"/>
    <cellStyle name="Jun 3 4 3" xfId="8393"/>
    <cellStyle name="Jun 3 5" xfId="8396"/>
    <cellStyle name="Jun 3 5 2" xfId="8399"/>
    <cellStyle name="Jun 3 5 3" xfId="8407"/>
    <cellStyle name="Jun 3 6" xfId="8412"/>
    <cellStyle name="Jun 3 6 2" xfId="8415"/>
    <cellStyle name="Jun 3 6 3" xfId="8422"/>
    <cellStyle name="Jun 3 7" xfId="8426"/>
    <cellStyle name="Jun 3 7 2" xfId="8429"/>
    <cellStyle name="Jun 3 7 3" xfId="8433"/>
    <cellStyle name="Jun 3 8" xfId="8435"/>
    <cellStyle name="Jun 3 8 2" xfId="8438"/>
    <cellStyle name="Jun 3 8 3" xfId="8442"/>
    <cellStyle name="Jun 3 9" xfId="8444"/>
    <cellStyle name="Jun 3 9 2" xfId="8447"/>
    <cellStyle name="Jun 3 9 3" xfId="8451"/>
    <cellStyle name="Jun 4" xfId="8453"/>
    <cellStyle name="Jun 4 2" xfId="8293"/>
    <cellStyle name="Jun 4 3" xfId="8454"/>
    <cellStyle name="Jun 5" xfId="8455"/>
    <cellStyle name="Jun 6" xfId="8456"/>
    <cellStyle name="Jun 7" xfId="8457"/>
    <cellStyle name="Jun 7 2" xfId="8458"/>
    <cellStyle name="Jun 7 3" xfId="8459"/>
    <cellStyle name="Jun 8" xfId="8460"/>
    <cellStyle name="Jun 9" xfId="8461"/>
    <cellStyle name="Jun 9 2" xfId="8462"/>
    <cellStyle name="Jun 9 3" xfId="8463"/>
    <cellStyle name="Linked Cells" xfId="8464"/>
    <cellStyle name="Linked Cells 10" xfId="4783"/>
    <cellStyle name="Linked Cells 10 2" xfId="8465"/>
    <cellStyle name="Linked Cells 10 3" xfId="8466"/>
    <cellStyle name="Linked Cells 11" xfId="4791"/>
    <cellStyle name="Linked Cells 12" xfId="8469"/>
    <cellStyle name="Linked Cells 13" xfId="8474"/>
    <cellStyle name="Linked Cells 14" xfId="8479"/>
    <cellStyle name="Linked Cells 15" xfId="8484"/>
    <cellStyle name="Linked Cells 15 2" xfId="8488"/>
    <cellStyle name="Linked Cells 15 3" xfId="8489"/>
    <cellStyle name="Linked Cells 16" xfId="8492"/>
    <cellStyle name="Linked Cells 16 2" xfId="8496"/>
    <cellStyle name="Linked Cells 16 3" xfId="8498"/>
    <cellStyle name="Linked Cells 17" xfId="8502"/>
    <cellStyle name="Linked Cells 18" xfId="8506"/>
    <cellStyle name="Linked Cells 19" xfId="8508"/>
    <cellStyle name="Linked Cells 2" xfId="8510"/>
    <cellStyle name="Linked Cells 2 10" xfId="8511"/>
    <cellStyle name="Linked Cells 2 2" xfId="8512"/>
    <cellStyle name="Linked Cells 2 3" xfId="8513"/>
    <cellStyle name="Linked Cells 2 4" xfId="8514"/>
    <cellStyle name="Linked Cells 2 5" xfId="5119"/>
    <cellStyle name="Linked Cells 2 6" xfId="5122"/>
    <cellStyle name="Linked Cells 2 7" xfId="8515"/>
    <cellStyle name="Linked Cells 2 8" xfId="8516"/>
    <cellStyle name="Linked Cells 2 9" xfId="8517"/>
    <cellStyle name="Linked Cells 20" xfId="8485"/>
    <cellStyle name="Linked Cells 21" xfId="8493"/>
    <cellStyle name="Linked Cells 21 2" xfId="8497"/>
    <cellStyle name="Linked Cells 21 3" xfId="8499"/>
    <cellStyle name="Linked Cells 22" xfId="8503"/>
    <cellStyle name="Linked Cells 22 2" xfId="8518"/>
    <cellStyle name="Linked Cells 22 3" xfId="8519"/>
    <cellStyle name="Linked Cells 23" xfId="8507"/>
    <cellStyle name="Linked Cells 23 2" xfId="8520"/>
    <cellStyle name="Linked Cells 23 3" xfId="8521"/>
    <cellStyle name="Linked Cells 24" xfId="8509"/>
    <cellStyle name="Linked Cells 24 2" xfId="8522"/>
    <cellStyle name="Linked Cells 24 3" xfId="8523"/>
    <cellStyle name="Linked Cells 25" xfId="8524"/>
    <cellStyle name="Linked Cells 25 2" xfId="8525"/>
    <cellStyle name="Linked Cells 25 3" xfId="8526"/>
    <cellStyle name="Linked Cells 26" xfId="8527"/>
    <cellStyle name="Linked Cells 26 2" xfId="8528"/>
    <cellStyle name="Linked Cells 26 3" xfId="8529"/>
    <cellStyle name="Linked Cells 27" xfId="8530"/>
    <cellStyle name="Linked Cells 27 2" xfId="8531"/>
    <cellStyle name="Linked Cells 27 3" xfId="8532"/>
    <cellStyle name="Linked Cells 28" xfId="8533"/>
    <cellStyle name="Linked Cells 28 2" xfId="8534"/>
    <cellStyle name="Linked Cells 28 3" xfId="8536"/>
    <cellStyle name="Linked Cells 29" xfId="8538"/>
    <cellStyle name="Linked Cells 29 2" xfId="3195"/>
    <cellStyle name="Linked Cells 29 3" xfId="3199"/>
    <cellStyle name="Linked Cells 3" xfId="8539"/>
    <cellStyle name="Linked Cells 3 10" xfId="8540"/>
    <cellStyle name="Linked Cells 3 11" xfId="8541"/>
    <cellStyle name="Linked Cells 3 12" xfId="8542"/>
    <cellStyle name="Linked Cells 3 2" xfId="8543"/>
    <cellStyle name="Linked Cells 3 3" xfId="8544"/>
    <cellStyle name="Linked Cells 3 4" xfId="8545"/>
    <cellStyle name="Linked Cells 3 5" xfId="8546"/>
    <cellStyle name="Linked Cells 3 6" xfId="8547"/>
    <cellStyle name="Linked Cells 3 7" xfId="8548"/>
    <cellStyle name="Linked Cells 3 8" xfId="8549"/>
    <cellStyle name="Linked Cells 3 9" xfId="8552"/>
    <cellStyle name="Linked Cells 4" xfId="8553"/>
    <cellStyle name="Linked Cells 5" xfId="8554"/>
    <cellStyle name="Linked Cells 5 2" xfId="8555"/>
    <cellStyle name="Linked Cells 5 3" xfId="8556"/>
    <cellStyle name="Linked Cells 6" xfId="8557"/>
    <cellStyle name="Linked Cells 6 2" xfId="8558"/>
    <cellStyle name="Linked Cells 6 3" xfId="8559"/>
    <cellStyle name="Linked Cells 7" xfId="8560"/>
    <cellStyle name="Linked Cells 7 2" xfId="8561"/>
    <cellStyle name="Linked Cells 7 3" xfId="8562"/>
    <cellStyle name="Linked Cells 8" xfId="8563"/>
    <cellStyle name="Linked Cells 9" xfId="8564"/>
    <cellStyle name="Millares [0]_96 Risk" xfId="8565"/>
    <cellStyle name="Millares_96 Risk" xfId="8566"/>
    <cellStyle name="Milliers [0]_!!!GO" xfId="7165"/>
    <cellStyle name="Milliers_!!!GO" xfId="8569"/>
    <cellStyle name="Moneda [0]_96 Risk" xfId="8574"/>
    <cellStyle name="Moneda_96 Risk" xfId="8577"/>
    <cellStyle name="Mon閠aire [0]_!!!GO" xfId="8578"/>
    <cellStyle name="Mon閠aire_!!!GO" xfId="8579"/>
    <cellStyle name="New Times Roman" xfId="8581"/>
    <cellStyle name="New Times Roman 10" xfId="5471"/>
    <cellStyle name="New Times Roman 10 2" xfId="8582"/>
    <cellStyle name="New Times Roman 10 3" xfId="8585"/>
    <cellStyle name="New Times Roman 11" xfId="5476"/>
    <cellStyle name="New Times Roman 12" xfId="8588"/>
    <cellStyle name="New Times Roman 13" xfId="8589"/>
    <cellStyle name="New Times Roman 14" xfId="7239"/>
    <cellStyle name="New Times Roman 14 2" xfId="8590"/>
    <cellStyle name="New Times Roman 14 3" xfId="8591"/>
    <cellStyle name="New Times Roman 15" xfId="7241"/>
    <cellStyle name="New Times Roman 16" xfId="7244"/>
    <cellStyle name="New Times Roman 17" xfId="7247"/>
    <cellStyle name="New Times Roman 18" xfId="7250"/>
    <cellStyle name="New Times Roman 19" xfId="7253"/>
    <cellStyle name="New Times Roman 2" xfId="8592"/>
    <cellStyle name="New Times Roman 2 10" xfId="8593"/>
    <cellStyle name="New Times Roman 2 10 2" xfId="8596"/>
    <cellStyle name="New Times Roman 2 10 3" xfId="1454"/>
    <cellStyle name="New Times Roman 2 2" xfId="8598"/>
    <cellStyle name="New Times Roman 2 2 2" xfId="8601"/>
    <cellStyle name="New Times Roman 2 2 3" xfId="8602"/>
    <cellStyle name="New Times Roman 2 3" xfId="8603"/>
    <cellStyle name="New Times Roman 2 3 2" xfId="8606"/>
    <cellStyle name="New Times Roman 2 3 3" xfId="8607"/>
    <cellStyle name="New Times Roman 2 4" xfId="8608"/>
    <cellStyle name="New Times Roman 2 4 2" xfId="8611"/>
    <cellStyle name="New Times Roman 2 4 3" xfId="8612"/>
    <cellStyle name="New Times Roman 2 5" xfId="8613"/>
    <cellStyle name="New Times Roman 2 5 2" xfId="8616"/>
    <cellStyle name="New Times Roman 2 5 3" xfId="8617"/>
    <cellStyle name="New Times Roman 2 6" xfId="8618"/>
    <cellStyle name="New Times Roman 2 6 2" xfId="8621"/>
    <cellStyle name="New Times Roman 2 6 3" xfId="8622"/>
    <cellStyle name="New Times Roman 2 7" xfId="8623"/>
    <cellStyle name="New Times Roman 2 7 2" xfId="8626"/>
    <cellStyle name="New Times Roman 2 7 3" xfId="8627"/>
    <cellStyle name="New Times Roman 2 8" xfId="8628"/>
    <cellStyle name="New Times Roman 2 8 2" xfId="8629"/>
    <cellStyle name="New Times Roman 2 8 3" xfId="8630"/>
    <cellStyle name="New Times Roman 2 9" xfId="8631"/>
    <cellStyle name="New Times Roman 2 9 2" xfId="8632"/>
    <cellStyle name="New Times Roman 2 9 3" xfId="8633"/>
    <cellStyle name="New Times Roman 20" xfId="7242"/>
    <cellStyle name="New Times Roman 21" xfId="7245"/>
    <cellStyle name="New Times Roman 22" xfId="7248"/>
    <cellStyle name="New Times Roman 3" xfId="8634"/>
    <cellStyle name="New Times Roman 3 10" xfId="4295"/>
    <cellStyle name="New Times Roman 3 10 2" xfId="8635"/>
    <cellStyle name="New Times Roman 3 10 3" xfId="8638"/>
    <cellStyle name="New Times Roman 3 2" xfId="8641"/>
    <cellStyle name="New Times Roman 3 2 2" xfId="2"/>
    <cellStyle name="New Times Roman 3 2 3" xfId="8645"/>
    <cellStyle name="New Times Roman 3 3" xfId="8646"/>
    <cellStyle name="New Times Roman 3 3 2" xfId="8650"/>
    <cellStyle name="New Times Roman 3 3 3" xfId="8651"/>
    <cellStyle name="New Times Roman 3 4" xfId="8652"/>
    <cellStyle name="New Times Roman 3 4 2" xfId="8656"/>
    <cellStyle name="New Times Roman 3 4 3" xfId="8657"/>
    <cellStyle name="New Times Roman 3 5" xfId="8658"/>
    <cellStyle name="New Times Roman 3 5 2" xfId="8661"/>
    <cellStyle name="New Times Roman 3 5 3" xfId="8662"/>
    <cellStyle name="New Times Roman 3 6" xfId="8663"/>
    <cellStyle name="New Times Roman 3 6 2" xfId="8666"/>
    <cellStyle name="New Times Roman 3 6 3" xfId="8667"/>
    <cellStyle name="New Times Roman 3 7" xfId="8668"/>
    <cellStyle name="New Times Roman 3 7 2" xfId="8671"/>
    <cellStyle name="New Times Roman 3 7 3" xfId="8672"/>
    <cellStyle name="New Times Roman 3 8" xfId="8673"/>
    <cellStyle name="New Times Roman 3 8 2" xfId="8674"/>
    <cellStyle name="New Times Roman 3 8 3" xfId="8675"/>
    <cellStyle name="New Times Roman 3 9" xfId="8676"/>
    <cellStyle name="New Times Roman 3 9 2" xfId="8677"/>
    <cellStyle name="New Times Roman 3 9 3" xfId="8678"/>
    <cellStyle name="New Times Roman 4" xfId="8679"/>
    <cellStyle name="New Times Roman 4 2" xfId="8680"/>
    <cellStyle name="New Times Roman 4 3" xfId="8684"/>
    <cellStyle name="New Times Roman 5" xfId="8688"/>
    <cellStyle name="New Times Roman 6" xfId="8689"/>
    <cellStyle name="New Times Roman 7" xfId="8690"/>
    <cellStyle name="New Times Roman 7 2" xfId="8691"/>
    <cellStyle name="New Times Roman 7 3" xfId="8694"/>
    <cellStyle name="New Times Roman 8" xfId="8697"/>
    <cellStyle name="New Times Roman 9" xfId="8698"/>
    <cellStyle name="New Times Roman 9 2" xfId="8699"/>
    <cellStyle name="New Times Roman 9 3" xfId="8702"/>
    <cellStyle name="no dec" xfId="8705"/>
    <cellStyle name="no dec 10" xfId="8707"/>
    <cellStyle name="no dec 10 2" xfId="8708"/>
    <cellStyle name="no dec 10 3" xfId="8711"/>
    <cellStyle name="no dec 11" xfId="8712"/>
    <cellStyle name="no dec 12" xfId="8714"/>
    <cellStyle name="no dec 13" xfId="8716"/>
    <cellStyle name="no dec 14" xfId="8718"/>
    <cellStyle name="no dec 14 2" xfId="8720"/>
    <cellStyle name="no dec 14 3" xfId="8723"/>
    <cellStyle name="no dec 15" xfId="8728"/>
    <cellStyle name="no dec 16" xfId="8733"/>
    <cellStyle name="no dec 17" xfId="8738"/>
    <cellStyle name="no dec 18" xfId="8745"/>
    <cellStyle name="no dec 19" xfId="8748"/>
    <cellStyle name="no dec 2" xfId="8751"/>
    <cellStyle name="no dec 2 10" xfId="5481"/>
    <cellStyle name="no dec 2 10 2" xfId="8752"/>
    <cellStyle name="no dec 2 10 3" xfId="8753"/>
    <cellStyle name="no dec 2 2" xfId="8754"/>
    <cellStyle name="no dec 2 2 2" xfId="8755"/>
    <cellStyle name="no dec 2 2 3" xfId="8756"/>
    <cellStyle name="no dec 2 3" xfId="8757"/>
    <cellStyle name="no dec 2 3 2" xfId="8758"/>
    <cellStyle name="no dec 2 3 3" xfId="8759"/>
    <cellStyle name="no dec 2 4" xfId="8760"/>
    <cellStyle name="no dec 2 4 2" xfId="8761"/>
    <cellStyle name="no dec 2 4 3" xfId="8764"/>
    <cellStyle name="no dec 2 5" xfId="8765"/>
    <cellStyle name="no dec 2 5 2" xfId="8766"/>
    <cellStyle name="no dec 2 5 3" xfId="8767"/>
    <cellStyle name="no dec 2 6" xfId="8768"/>
    <cellStyle name="no dec 2 6 2" xfId="8769"/>
    <cellStyle name="no dec 2 6 3" xfId="8770"/>
    <cellStyle name="no dec 2 7" xfId="8771"/>
    <cellStyle name="no dec 2 7 2" xfId="8772"/>
    <cellStyle name="no dec 2 7 3" xfId="8773"/>
    <cellStyle name="no dec 2 8" xfId="8776"/>
    <cellStyle name="no dec 2 8 2" xfId="8777"/>
    <cellStyle name="no dec 2 8 3" xfId="8778"/>
    <cellStyle name="no dec 2 9" xfId="8781"/>
    <cellStyle name="no dec 2 9 2" xfId="8782"/>
    <cellStyle name="no dec 2 9 3" xfId="8785"/>
    <cellStyle name="no dec 20" xfId="8729"/>
    <cellStyle name="no dec 21" xfId="8734"/>
    <cellStyle name="no dec 22" xfId="8739"/>
    <cellStyle name="no dec 3" xfId="8786"/>
    <cellStyle name="no dec 3 10" xfId="8787"/>
    <cellStyle name="no dec 3 10 2" xfId="8788"/>
    <cellStyle name="no dec 3 10 3" xfId="8789"/>
    <cellStyle name="no dec 3 2" xfId="8790"/>
    <cellStyle name="no dec 3 2 2" xfId="8791"/>
    <cellStyle name="no dec 3 2 3" xfId="8792"/>
    <cellStyle name="no dec 3 3" xfId="8793"/>
    <cellStyle name="no dec 3 3 2" xfId="8794"/>
    <cellStyle name="no dec 3 3 3" xfId="8795"/>
    <cellStyle name="no dec 3 4" xfId="8796"/>
    <cellStyle name="no dec 3 4 2" xfId="5474"/>
    <cellStyle name="no dec 3 4 3" xfId="5479"/>
    <cellStyle name="no dec 3 5" xfId="8797"/>
    <cellStyle name="no dec 3 5 2" xfId="8798"/>
    <cellStyle name="no dec 3 5 3" xfId="8799"/>
    <cellStyle name="no dec 3 6" xfId="8800"/>
    <cellStyle name="no dec 3 6 2" xfId="8801"/>
    <cellStyle name="no dec 3 6 3" xfId="8802"/>
    <cellStyle name="no dec 3 7" xfId="8803"/>
    <cellStyle name="no dec 3 7 2" xfId="8804"/>
    <cellStyle name="no dec 3 7 3" xfId="8805"/>
    <cellStyle name="no dec 3 8" xfId="8808"/>
    <cellStyle name="no dec 3 8 2" xfId="8809"/>
    <cellStyle name="no dec 3 8 3" xfId="8810"/>
    <cellStyle name="no dec 3 9" xfId="8813"/>
    <cellStyle name="no dec 3 9 2" xfId="8814"/>
    <cellStyle name="no dec 3 9 3" xfId="8815"/>
    <cellStyle name="no dec 4" xfId="8816"/>
    <cellStyle name="no dec 4 2" xfId="8817"/>
    <cellStyle name="no dec 4 3" xfId="8818"/>
    <cellStyle name="no dec 5" xfId="8819"/>
    <cellStyle name="no dec 6" xfId="8820"/>
    <cellStyle name="no dec 7" xfId="8821"/>
    <cellStyle name="no dec 7 2" xfId="5344"/>
    <cellStyle name="no dec 7 3" xfId="8822"/>
    <cellStyle name="no dec 8" xfId="8824"/>
    <cellStyle name="no dec 9" xfId="8825"/>
    <cellStyle name="no dec 9 2" xfId="8826"/>
    <cellStyle name="no dec 9 3" xfId="4948"/>
    <cellStyle name="Normal" xfId="8827"/>
    <cellStyle name="Normal - Style1" xfId="8828"/>
    <cellStyle name="Normal - Style1 10" xfId="8830"/>
    <cellStyle name="Normal - Style1 10 2" xfId="8836"/>
    <cellStyle name="Normal - Style1 10 3" xfId="8837"/>
    <cellStyle name="Normal - Style1 11" xfId="8838"/>
    <cellStyle name="Normal - Style1 12" xfId="8842"/>
    <cellStyle name="Normal - Style1 13" xfId="8846"/>
    <cellStyle name="Normal - Style1 14" xfId="7584"/>
    <cellStyle name="Normal - Style1 14 2" xfId="8850"/>
    <cellStyle name="Normal - Style1 14 3" xfId="8852"/>
    <cellStyle name="Normal - Style1 15" xfId="4502"/>
    <cellStyle name="Normal - Style1 16" xfId="8854"/>
    <cellStyle name="Normal - Style1 17" xfId="6"/>
    <cellStyle name="Normal - Style1 18" xfId="8856"/>
    <cellStyle name="Normal - Style1 19" xfId="8857"/>
    <cellStyle name="Normal - Style1 2" xfId="8858"/>
    <cellStyle name="Normal - Style1 2 10" xfId="6668"/>
    <cellStyle name="Normal - Style1 2 10 2" xfId="6670"/>
    <cellStyle name="Normal - Style1 2 10 3" xfId="6678"/>
    <cellStyle name="Normal - Style1 2 2" xfId="8861"/>
    <cellStyle name="Normal - Style1 2 2 2" xfId="8863"/>
    <cellStyle name="Normal - Style1 2 2 3" xfId="8866"/>
    <cellStyle name="Normal - Style1 2 3" xfId="8868"/>
    <cellStyle name="Normal - Style1 2 3 2" xfId="8869"/>
    <cellStyle name="Normal - Style1 2 3 3" xfId="8872"/>
    <cellStyle name="Normal - Style1 2 4" xfId="8874"/>
    <cellStyle name="Normal - Style1 2 4 2" xfId="8875"/>
    <cellStyle name="Normal - Style1 2 4 3" xfId="8878"/>
    <cellStyle name="Normal - Style1 2 5" xfId="8880"/>
    <cellStyle name="Normal - Style1 2 5 2" xfId="8882"/>
    <cellStyle name="Normal - Style1 2 5 3" xfId="8885"/>
    <cellStyle name="Normal - Style1 2 6" xfId="8888"/>
    <cellStyle name="Normal - Style1 2 6 2" xfId="8889"/>
    <cellStyle name="Normal - Style1 2 6 3" xfId="8891"/>
    <cellStyle name="Normal - Style1 2 7" xfId="8893"/>
    <cellStyle name="Normal - Style1 2 7 2" xfId="8894"/>
    <cellStyle name="Normal - Style1 2 7 3" xfId="8897"/>
    <cellStyle name="Normal - Style1 2 8" xfId="8899"/>
    <cellStyle name="Normal - Style1 2 8 2" xfId="8900"/>
    <cellStyle name="Normal - Style1 2 8 3" xfId="8901"/>
    <cellStyle name="Normal - Style1 2 9" xfId="8053"/>
    <cellStyle name="Normal - Style1 2 9 2" xfId="8902"/>
    <cellStyle name="Normal - Style1 2 9 3" xfId="8903"/>
    <cellStyle name="Normal - Style1 20" xfId="4503"/>
    <cellStyle name="Normal - Style1 21" xfId="8855"/>
    <cellStyle name="Normal - Style1 22" xfId="5"/>
    <cellStyle name="Normal - Style1 3" xfId="8904"/>
    <cellStyle name="Normal - Style1 3 10" xfId="8907"/>
    <cellStyle name="Normal - Style1 3 10 2" xfId="8910"/>
    <cellStyle name="Normal - Style1 3 10 3" xfId="8916"/>
    <cellStyle name="Normal - Style1 3 2" xfId="8920"/>
    <cellStyle name="Normal - Style1 3 2 2" xfId="8921"/>
    <cellStyle name="Normal - Style1 3 2 3" xfId="8924"/>
    <cellStyle name="Normal - Style1 3 3" xfId="8925"/>
    <cellStyle name="Normal - Style1 3 3 2" xfId="8926"/>
    <cellStyle name="Normal - Style1 3 3 3" xfId="8928"/>
    <cellStyle name="Normal - Style1 3 4" xfId="8929"/>
    <cellStyle name="Normal - Style1 3 4 2" xfId="8932"/>
    <cellStyle name="Normal - Style1 3 4 3" xfId="8934"/>
    <cellStyle name="Normal - Style1 3 5" xfId="8935"/>
    <cellStyle name="Normal - Style1 3 5 2" xfId="8938"/>
    <cellStyle name="Normal - Style1 3 5 3" xfId="8939"/>
    <cellStyle name="Normal - Style1 3 6" xfId="8940"/>
    <cellStyle name="Normal - Style1 3 6 2" xfId="8943"/>
    <cellStyle name="Normal - Style1 3 6 3" xfId="8944"/>
    <cellStyle name="Normal - Style1 3 7" xfId="8945"/>
    <cellStyle name="Normal - Style1 3 7 2" xfId="8948"/>
    <cellStyle name="Normal - Style1 3 7 3" xfId="8951"/>
    <cellStyle name="Normal - Style1 3 8" xfId="8952"/>
    <cellStyle name="Normal - Style1 3 8 2" xfId="8955"/>
    <cellStyle name="Normal - Style1 3 8 3" xfId="8956"/>
    <cellStyle name="Normal - Style1 3 9" xfId="8062"/>
    <cellStyle name="Normal - Style1 3 9 2" xfId="8958"/>
    <cellStyle name="Normal - Style1 3 9 3" xfId="8959"/>
    <cellStyle name="Normal - Style1 4" xfId="8961"/>
    <cellStyle name="Normal - Style1 4 2" xfId="8964"/>
    <cellStyle name="Normal - Style1 4 3" xfId="8966"/>
    <cellStyle name="Normal - Style1 5" xfId="8967"/>
    <cellStyle name="Normal - Style1 6" xfId="8968"/>
    <cellStyle name="Normal - Style1 7" xfId="8969"/>
    <cellStyle name="Normal - Style1 7 2" xfId="8970"/>
    <cellStyle name="Normal - Style1 7 3" xfId="4408"/>
    <cellStyle name="Normal - Style1 8" xfId="8973"/>
    <cellStyle name="Normal - Style1 9" xfId="8974"/>
    <cellStyle name="Normal - Style1 9 2" xfId="8975"/>
    <cellStyle name="Normal - Style1 9 3" xfId="8976"/>
    <cellStyle name="Normal_!!!GO" xfId="8977"/>
    <cellStyle name="Pacific Region P&amp;L" xfId="8980"/>
    <cellStyle name="per.style" xfId="8981"/>
    <cellStyle name="per.style 10" xfId="8982"/>
    <cellStyle name="per.style 10 2" xfId="8983"/>
    <cellStyle name="per.style 10 3" xfId="8986"/>
    <cellStyle name="per.style 11" xfId="8987"/>
    <cellStyle name="per.style 12" xfId="8988"/>
    <cellStyle name="per.style 13" xfId="8989"/>
    <cellStyle name="per.style 14" xfId="8990"/>
    <cellStyle name="per.style 14 2" xfId="8991"/>
    <cellStyle name="per.style 14 3" xfId="8992"/>
    <cellStyle name="per.style 15" xfId="8993"/>
    <cellStyle name="per.style 16" xfId="8996"/>
    <cellStyle name="per.style 17" xfId="8998"/>
    <cellStyle name="per.style 18" xfId="9000"/>
    <cellStyle name="per.style 19" xfId="9001"/>
    <cellStyle name="per.style 2" xfId="9002"/>
    <cellStyle name="per.style 2 10" xfId="9004"/>
    <cellStyle name="per.style 2 10 2" xfId="9006"/>
    <cellStyle name="per.style 2 10 3" xfId="9009"/>
    <cellStyle name="per.style 2 2" xfId="1766"/>
    <cellStyle name="per.style 2 2 2" xfId="2740"/>
    <cellStyle name="per.style 2 2 3" xfId="5575"/>
    <cellStyle name="per.style 2 3" xfId="1770"/>
    <cellStyle name="per.style 2 3 2" xfId="5620"/>
    <cellStyle name="per.style 2 3 3" xfId="4190"/>
    <cellStyle name="per.style 2 4" xfId="1774"/>
    <cellStyle name="per.style 2 4 2" xfId="2797"/>
    <cellStyle name="per.style 2 4 3" xfId="4202"/>
    <cellStyle name="per.style 2 5" xfId="1778"/>
    <cellStyle name="per.style 2 5 2" xfId="3656"/>
    <cellStyle name="per.style 2 5 3" xfId="3664"/>
    <cellStyle name="per.style 2 6" xfId="1783"/>
    <cellStyle name="per.style 2 6 2" xfId="5709"/>
    <cellStyle name="per.style 2 6 3" xfId="5711"/>
    <cellStyle name="per.style 2 7" xfId="1787"/>
    <cellStyle name="per.style 2 7 2" xfId="5729"/>
    <cellStyle name="per.style 2 7 3" xfId="5731"/>
    <cellStyle name="per.style 2 8" xfId="9012"/>
    <cellStyle name="per.style 2 8 2" xfId="9015"/>
    <cellStyle name="per.style 2 8 3" xfId="9016"/>
    <cellStyle name="per.style 2 9" xfId="9017"/>
    <cellStyle name="per.style 2 9 2" xfId="9020"/>
    <cellStyle name="per.style 2 9 3" xfId="9021"/>
    <cellStyle name="per.style 20" xfId="8994"/>
    <cellStyle name="per.style 21" xfId="8997"/>
    <cellStyle name="per.style 22" xfId="8999"/>
    <cellStyle name="per.style 3" xfId="9022"/>
    <cellStyle name="per.style 3 10" xfId="9025"/>
    <cellStyle name="per.style 3 10 2" xfId="9028"/>
    <cellStyle name="per.style 3 10 3" xfId="9029"/>
    <cellStyle name="per.style 3 2" xfId="1801"/>
    <cellStyle name="per.style 3 2 2" xfId="9030"/>
    <cellStyle name="per.style 3 2 3" xfId="9031"/>
    <cellStyle name="per.style 3 3" xfId="1810"/>
    <cellStyle name="per.style 3 3 2" xfId="9032"/>
    <cellStyle name="per.style 3 3 3" xfId="9035"/>
    <cellStyle name="per.style 3 4" xfId="1819"/>
    <cellStyle name="per.style 3 4 2" xfId="9038"/>
    <cellStyle name="per.style 3 4 3" xfId="9041"/>
    <cellStyle name="per.style 3 5" xfId="1830"/>
    <cellStyle name="per.style 3 5 2" xfId="9044"/>
    <cellStyle name="per.style 3 5 3" xfId="9045"/>
    <cellStyle name="per.style 3 6" xfId="1841"/>
    <cellStyle name="per.style 3 6 2" xfId="9046"/>
    <cellStyle name="per.style 3 6 3" xfId="9047"/>
    <cellStyle name="per.style 3 7" xfId="1846"/>
    <cellStyle name="per.style 3 7 2" xfId="9048"/>
    <cellStyle name="per.style 3 7 3" xfId="9049"/>
    <cellStyle name="per.style 3 8" xfId="9050"/>
    <cellStyle name="per.style 3 8 2" xfId="9054"/>
    <cellStyle name="per.style 3 8 3" xfId="9055"/>
    <cellStyle name="per.style 3 9" xfId="9056"/>
    <cellStyle name="per.style 3 9 2" xfId="9059"/>
    <cellStyle name="per.style 3 9 3" xfId="9060"/>
    <cellStyle name="per.style 4" xfId="9061"/>
    <cellStyle name="per.style 4 2" xfId="820"/>
    <cellStyle name="per.style 4 3" xfId="89"/>
    <cellStyle name="per.style 5" xfId="9064"/>
    <cellStyle name="per.style 6" xfId="9069"/>
    <cellStyle name="per.style 7" xfId="9072"/>
    <cellStyle name="per.style 7 2" xfId="9075"/>
    <cellStyle name="per.style 7 3" xfId="8862"/>
    <cellStyle name="per.style 8" xfId="9076"/>
    <cellStyle name="per.style 9" xfId="9079"/>
    <cellStyle name="per.style 9 2" xfId="9082"/>
    <cellStyle name="per.style 9 3" xfId="8965"/>
    <cellStyle name="Percent [2]" xfId="9083"/>
    <cellStyle name="Percent [2] 10" xfId="9084"/>
    <cellStyle name="Percent [2] 11" xfId="9085"/>
    <cellStyle name="Percent [2] 12" xfId="9086"/>
    <cellStyle name="Percent [2] 13" xfId="9087"/>
    <cellStyle name="Percent [2] 14" xfId="9088"/>
    <cellStyle name="Percent [2] 15" xfId="7147"/>
    <cellStyle name="Percent [2] 16" xfId="7155"/>
    <cellStyle name="Percent [2] 17" xfId="9089"/>
    <cellStyle name="Percent [2] 18" xfId="9093"/>
    <cellStyle name="Percent [2] 19" xfId="9097"/>
    <cellStyle name="Percent [2] 2" xfId="9100"/>
    <cellStyle name="Percent [2] 2 10" xfId="9102"/>
    <cellStyle name="Percent [2] 2 2" xfId="9104"/>
    <cellStyle name="Percent [2] 2 3" xfId="9105"/>
    <cellStyle name="Percent [2] 2 4" xfId="9106"/>
    <cellStyle name="Percent [2] 2 5" xfId="9107"/>
    <cellStyle name="Percent [2] 2 6" xfId="9108"/>
    <cellStyle name="Percent [2] 2 7" xfId="9109"/>
    <cellStyle name="Percent [2] 2 8" xfId="9110"/>
    <cellStyle name="Percent [2] 2 9" xfId="9111"/>
    <cellStyle name="Percent [2] 20" xfId="7148"/>
    <cellStyle name="Percent [2] 21" xfId="7156"/>
    <cellStyle name="Percent [2] 22" xfId="9090"/>
    <cellStyle name="Percent [2] 23" xfId="9094"/>
    <cellStyle name="Percent [2] 24" xfId="9098"/>
    <cellStyle name="Percent [2] 25" xfId="9112"/>
    <cellStyle name="Percent [2] 26" xfId="9114"/>
    <cellStyle name="Percent [2] 27" xfId="9117"/>
    <cellStyle name="Percent [2] 28" xfId="9121"/>
    <cellStyle name="Percent [2] 29" xfId="9125"/>
    <cellStyle name="Percent [2] 3" xfId="9128"/>
    <cellStyle name="Percent [2] 3 10" xfId="9130"/>
    <cellStyle name="Percent [2] 3 2" xfId="9132"/>
    <cellStyle name="Percent [2] 3 3" xfId="9133"/>
    <cellStyle name="Percent [2] 3 4" xfId="9134"/>
    <cellStyle name="Percent [2] 3 5" xfId="9135"/>
    <cellStyle name="Percent [2] 3 6" xfId="9136"/>
    <cellStyle name="Percent [2] 3 7" xfId="9137"/>
    <cellStyle name="Percent [2] 3 8" xfId="9138"/>
    <cellStyle name="Percent [2] 3 9" xfId="9139"/>
    <cellStyle name="Percent [2] 4" xfId="9140"/>
    <cellStyle name="Percent [2] 5" xfId="9142"/>
    <cellStyle name="Percent [2] 6" xfId="9144"/>
    <cellStyle name="Percent [2] 7" xfId="9146"/>
    <cellStyle name="Percent [2] 8" xfId="9147"/>
    <cellStyle name="Percent [2] 9" xfId="9149"/>
    <cellStyle name="Percent_!!!GO" xfId="9151"/>
    <cellStyle name="Pourcentage_pldt" xfId="9152"/>
    <cellStyle name="PSChar" xfId="9154"/>
    <cellStyle name="PSChar 10" xfId="1121"/>
    <cellStyle name="PSChar 11" xfId="2595"/>
    <cellStyle name="PSChar 12" xfId="2598"/>
    <cellStyle name="PSChar 13" xfId="4486"/>
    <cellStyle name="PSChar 14" xfId="5884"/>
    <cellStyle name="PSChar 15" xfId="5886"/>
    <cellStyle name="PSChar 16" xfId="5889"/>
    <cellStyle name="PSChar 17" xfId="5892"/>
    <cellStyle name="PSChar 18" xfId="9157"/>
    <cellStyle name="PSChar 19" xfId="9159"/>
    <cellStyle name="PSChar 2" xfId="9161"/>
    <cellStyle name="PSChar 2 10" xfId="9162"/>
    <cellStyle name="PSChar 2 2" xfId="9163"/>
    <cellStyle name="PSChar 2 3" xfId="9166"/>
    <cellStyle name="PSChar 2 4" xfId="9169"/>
    <cellStyle name="PSChar 2 5" xfId="9172"/>
    <cellStyle name="PSChar 2 6" xfId="9175"/>
    <cellStyle name="PSChar 2 7" xfId="9180"/>
    <cellStyle name="PSChar 2 8" xfId="9183"/>
    <cellStyle name="PSChar 2 9" xfId="8259"/>
    <cellStyle name="PSChar 20" xfId="5887"/>
    <cellStyle name="PSChar 21" xfId="5890"/>
    <cellStyle name="PSChar 22" xfId="5893"/>
    <cellStyle name="PSChar 23" xfId="9158"/>
    <cellStyle name="PSChar 24" xfId="9160"/>
    <cellStyle name="PSChar 25" xfId="9186"/>
    <cellStyle name="PSChar 26" xfId="9187"/>
    <cellStyle name="PSChar 27" xfId="9188"/>
    <cellStyle name="PSChar 28" xfId="6539"/>
    <cellStyle name="PSChar 29" xfId="6544"/>
    <cellStyle name="PSChar 3" xfId="9189"/>
    <cellStyle name="PSChar 3 10" xfId="9190"/>
    <cellStyle name="PSChar 3 2" xfId="9191"/>
    <cellStyle name="PSChar 3 3" xfId="9194"/>
    <cellStyle name="PSChar 3 4" xfId="9197"/>
    <cellStyle name="PSChar 3 5" xfId="9200"/>
    <cellStyle name="PSChar 3 6" xfId="9203"/>
    <cellStyle name="PSChar 3 7" xfId="9207"/>
    <cellStyle name="PSChar 3 8" xfId="9211"/>
    <cellStyle name="PSChar 3 9" xfId="9214"/>
    <cellStyle name="PSChar 4" xfId="6127"/>
    <cellStyle name="PSChar 5" xfId="6132"/>
    <cellStyle name="PSChar 6" xfId="9216"/>
    <cellStyle name="PSChar 7" xfId="9217"/>
    <cellStyle name="PSChar 8" xfId="9218"/>
    <cellStyle name="PSChar 9" xfId="9219"/>
    <cellStyle name="PSDate" xfId="7199"/>
    <cellStyle name="PSDate 10" xfId="9220"/>
    <cellStyle name="PSDate 11" xfId="9221"/>
    <cellStyle name="PSDate 12" xfId="9222"/>
    <cellStyle name="PSDate 13" xfId="9223"/>
    <cellStyle name="PSDate 14" xfId="9224"/>
    <cellStyle name="PSDate 15" xfId="9225"/>
    <cellStyle name="PSDate 16" xfId="9227"/>
    <cellStyle name="PSDate 17" xfId="9229"/>
    <cellStyle name="PSDate 18" xfId="9231"/>
    <cellStyle name="PSDate 19" xfId="9233"/>
    <cellStyle name="PSDate 2" xfId="9235"/>
    <cellStyle name="PSDate 2 10" xfId="9236"/>
    <cellStyle name="PSDate 2 2" xfId="9237"/>
    <cellStyle name="PSDate 2 3" xfId="9239"/>
    <cellStyle name="PSDate 2 4" xfId="9240"/>
    <cellStyle name="PSDate 2 5" xfId="9241"/>
    <cellStyle name="PSDate 2 6" xfId="9242"/>
    <cellStyle name="PSDate 2 7" xfId="9243"/>
    <cellStyle name="PSDate 2 8" xfId="4030"/>
    <cellStyle name="PSDate 2 9" xfId="9244"/>
    <cellStyle name="PSDate 20" xfId="9226"/>
    <cellStyle name="PSDate 21" xfId="9228"/>
    <cellStyle name="PSDate 22" xfId="9230"/>
    <cellStyle name="PSDate 23" xfId="9232"/>
    <cellStyle name="PSDate 24" xfId="9234"/>
    <cellStyle name="PSDate 25" xfId="9245"/>
    <cellStyle name="PSDate 26" xfId="9246"/>
    <cellStyle name="PSDate 27" xfId="9247"/>
    <cellStyle name="PSDate 28" xfId="9248"/>
    <cellStyle name="PSDate 29" xfId="2773"/>
    <cellStyle name="PSDate 3" xfId="9249"/>
    <cellStyle name="PSDate 3 10" xfId="9250"/>
    <cellStyle name="PSDate 3 2" xfId="9253"/>
    <cellStyle name="PSDate 3 3" xfId="9254"/>
    <cellStyle name="PSDate 3 4" xfId="9255"/>
    <cellStyle name="PSDate 3 5" xfId="9257"/>
    <cellStyle name="PSDate 3 6" xfId="9258"/>
    <cellStyle name="PSDate 3 7" xfId="9259"/>
    <cellStyle name="PSDate 3 8" xfId="9260"/>
    <cellStyle name="PSDate 3 9" xfId="9261"/>
    <cellStyle name="PSDate 4" xfId="8008"/>
    <cellStyle name="PSDate 5" xfId="8011"/>
    <cellStyle name="PSDate 6" xfId="9262"/>
    <cellStyle name="PSDate 7" xfId="9263"/>
    <cellStyle name="PSDate 8" xfId="9264"/>
    <cellStyle name="PSDate 9" xfId="9265"/>
    <cellStyle name="PSDec" xfId="9266"/>
    <cellStyle name="PSDec 10" xfId="9272"/>
    <cellStyle name="PSDec 11" xfId="9273"/>
    <cellStyle name="PSDec 12" xfId="9274"/>
    <cellStyle name="PSDec 13" xfId="9275"/>
    <cellStyle name="PSDec 14" xfId="9276"/>
    <cellStyle name="PSDec 15" xfId="9277"/>
    <cellStyle name="PSDec 16" xfId="9279"/>
    <cellStyle name="PSDec 17" xfId="9283"/>
    <cellStyle name="PSDec 18" xfId="9287"/>
    <cellStyle name="PSDec 19" xfId="9291"/>
    <cellStyle name="PSDec 2" xfId="9295"/>
    <cellStyle name="PSDec 2 10" xfId="9298"/>
    <cellStyle name="PSDec 2 2" xfId="5359"/>
    <cellStyle name="PSDec 2 3" xfId="9299"/>
    <cellStyle name="PSDec 2 4" xfId="9300"/>
    <cellStyle name="PSDec 2 5" xfId="9301"/>
    <cellStyle name="PSDec 2 6" xfId="9302"/>
    <cellStyle name="PSDec 2 7" xfId="9303"/>
    <cellStyle name="PSDec 2 8" xfId="9304"/>
    <cellStyle name="PSDec 2 9" xfId="9305"/>
    <cellStyle name="PSDec 20" xfId="9278"/>
    <cellStyle name="PSDec 21" xfId="9280"/>
    <cellStyle name="PSDec 22" xfId="9284"/>
    <cellStyle name="PSDec 23" xfId="9288"/>
    <cellStyle name="PSDec 24" xfId="9292"/>
    <cellStyle name="PSDec 25" xfId="9306"/>
    <cellStyle name="PSDec 26" xfId="9309"/>
    <cellStyle name="PSDec 27" xfId="9312"/>
    <cellStyle name="PSDec 28" xfId="9315"/>
    <cellStyle name="PSDec 29" xfId="9318"/>
    <cellStyle name="PSDec 3" xfId="7440"/>
    <cellStyle name="PSDec 3 10" xfId="9319"/>
    <cellStyle name="PSDec 3 2" xfId="5364"/>
    <cellStyle name="PSDec 3 3" xfId="9320"/>
    <cellStyle name="PSDec 3 4" xfId="9321"/>
    <cellStyle name="PSDec 3 5" xfId="9322"/>
    <cellStyle name="PSDec 3 6" xfId="9323"/>
    <cellStyle name="PSDec 3 7" xfId="9324"/>
    <cellStyle name="PSDec 3 8" xfId="9325"/>
    <cellStyle name="PSDec 3 9" xfId="9326"/>
    <cellStyle name="PSDec 4" xfId="7444"/>
    <cellStyle name="PSDec 5" xfId="7448"/>
    <cellStyle name="PSDec 6" xfId="6045"/>
    <cellStyle name="PSDec 7" xfId="6052"/>
    <cellStyle name="PSDec 8" xfId="7452"/>
    <cellStyle name="PSDec 9" xfId="2072"/>
    <cellStyle name="PSHeading" xfId="9327"/>
    <cellStyle name="PSHeading 10" xfId="9329"/>
    <cellStyle name="PSHeading 10 2" xfId="9330"/>
    <cellStyle name="PSHeading 10 3" xfId="9331"/>
    <cellStyle name="PSHeading 11" xfId="9332"/>
    <cellStyle name="PSHeading 11 2" xfId="9333"/>
    <cellStyle name="PSHeading 12" xfId="9334"/>
    <cellStyle name="PSHeading 12 2" xfId="9336"/>
    <cellStyle name="PSHeading 13" xfId="9337"/>
    <cellStyle name="PSHeading 13 2" xfId="9339"/>
    <cellStyle name="PSHeading 14" xfId="9340"/>
    <cellStyle name="PSHeading 14 2" xfId="9342"/>
    <cellStyle name="PSHeading 14 3" xfId="9343"/>
    <cellStyle name="PSHeading 15" xfId="9344"/>
    <cellStyle name="PSHeading 15 2" xfId="9347"/>
    <cellStyle name="PSHeading 16" xfId="9350"/>
    <cellStyle name="PSHeading 16 2" xfId="9355"/>
    <cellStyle name="PSHeading 17" xfId="9361"/>
    <cellStyle name="PSHeading 17 2" xfId="9366"/>
    <cellStyle name="PSHeading 18" xfId="9371"/>
    <cellStyle name="PSHeading 18 2" xfId="9377"/>
    <cellStyle name="PSHeading 19" xfId="9380"/>
    <cellStyle name="PSHeading 19 2" xfId="9383"/>
    <cellStyle name="PSHeading 2" xfId="9385"/>
    <cellStyle name="PSHeading 2 10" xfId="9387"/>
    <cellStyle name="PSHeading 2 10 2" xfId="9388"/>
    <cellStyle name="PSHeading 2 10 3" xfId="9391"/>
    <cellStyle name="PSHeading 2 11" xfId="9393"/>
    <cellStyle name="PSHeading 2 2" xfId="9394"/>
    <cellStyle name="PSHeading 2 2 2" xfId="9397"/>
    <cellStyle name="PSHeading 2 2 3" xfId="9400"/>
    <cellStyle name="PSHeading 2 3" xfId="9403"/>
    <cellStyle name="PSHeading 2 3 2" xfId="9406"/>
    <cellStyle name="PSHeading 2 3 3" xfId="9409"/>
    <cellStyle name="PSHeading 2 4" xfId="9412"/>
    <cellStyle name="PSHeading 2 4 2" xfId="9415"/>
    <cellStyle name="PSHeading 2 4 3" xfId="9418"/>
    <cellStyle name="PSHeading 2 5" xfId="9422"/>
    <cellStyle name="PSHeading 2 5 2" xfId="9423"/>
    <cellStyle name="PSHeading 2 5 3" xfId="9426"/>
    <cellStyle name="PSHeading 2 6" xfId="9430"/>
    <cellStyle name="PSHeading 2 6 2" xfId="9431"/>
    <cellStyle name="PSHeading 2 6 3" xfId="9434"/>
    <cellStyle name="PSHeading 2 7" xfId="6756"/>
    <cellStyle name="PSHeading 2 7 2" xfId="1416"/>
    <cellStyle name="PSHeading 2 7 3" xfId="9437"/>
    <cellStyle name="PSHeading 2 8" xfId="1690"/>
    <cellStyle name="PSHeading 2 8 2" xfId="1440"/>
    <cellStyle name="PSHeading 2 8 3" xfId="696"/>
    <cellStyle name="PSHeading 2 9" xfId="1914"/>
    <cellStyle name="PSHeading 2 9 2" xfId="1530"/>
    <cellStyle name="PSHeading 2 9 3" xfId="1542"/>
    <cellStyle name="PSHeading 20" xfId="9345"/>
    <cellStyle name="PSHeading 20 2" xfId="9348"/>
    <cellStyle name="PSHeading 21" xfId="9351"/>
    <cellStyle name="PSHeading 21 2" xfId="9356"/>
    <cellStyle name="PSHeading 22" xfId="9362"/>
    <cellStyle name="PSHeading 22 2" xfId="9367"/>
    <cellStyle name="PSHeading 23" xfId="9372"/>
    <cellStyle name="PSHeading 3" xfId="9443"/>
    <cellStyle name="PSHeading 3 10" xfId="9447"/>
    <cellStyle name="PSHeading 3 10 2" xfId="9448"/>
    <cellStyle name="PSHeading 3 10 3" xfId="9449"/>
    <cellStyle name="PSHeading 3 11" xfId="9450"/>
    <cellStyle name="PSHeading 3 2" xfId="9451"/>
    <cellStyle name="PSHeading 3 2 2" xfId="9454"/>
    <cellStyle name="PSHeading 3 2 3" xfId="9455"/>
    <cellStyle name="PSHeading 3 3" xfId="9456"/>
    <cellStyle name="PSHeading 3 3 2" xfId="9459"/>
    <cellStyle name="PSHeading 3 3 3" xfId="9460"/>
    <cellStyle name="PSHeading 3 4" xfId="9461"/>
    <cellStyle name="PSHeading 3 4 2" xfId="9464"/>
    <cellStyle name="PSHeading 3 4 3" xfId="9465"/>
    <cellStyle name="PSHeading 3 5" xfId="9467"/>
    <cellStyle name="PSHeading 3 5 2" xfId="9470"/>
    <cellStyle name="PSHeading 3 5 3" xfId="9471"/>
    <cellStyle name="PSHeading 3 6" xfId="9473"/>
    <cellStyle name="PSHeading 3 6 2" xfId="9474"/>
    <cellStyle name="PSHeading 3 6 3" xfId="9475"/>
    <cellStyle name="PSHeading 3 7" xfId="6763"/>
    <cellStyle name="PSHeading 3 7 2" xfId="9476"/>
    <cellStyle name="PSHeading 3 7 3" xfId="9479"/>
    <cellStyle name="PSHeading 3 8" xfId="22"/>
    <cellStyle name="PSHeading 3 8 2" xfId="9482"/>
    <cellStyle name="PSHeading 3 8 3" xfId="9485"/>
    <cellStyle name="PSHeading 3 9" xfId="9488"/>
    <cellStyle name="PSHeading 3 9 2" xfId="9489"/>
    <cellStyle name="PSHeading 3 9 3" xfId="9490"/>
    <cellStyle name="PSHeading 4" xfId="9492"/>
    <cellStyle name="PSHeading 4 2" xfId="9494"/>
    <cellStyle name="PSHeading 4 3" xfId="9497"/>
    <cellStyle name="PSHeading 5" xfId="9501"/>
    <cellStyle name="PSHeading 5 2" xfId="9503"/>
    <cellStyle name="PSHeading 6" xfId="9505"/>
    <cellStyle name="PSHeading 6 2" xfId="9507"/>
    <cellStyle name="PSHeading 7" xfId="9508"/>
    <cellStyle name="PSHeading 7 2" xfId="9510"/>
    <cellStyle name="PSHeading 7 3" xfId="9511"/>
    <cellStyle name="PSHeading 8" xfId="9514"/>
    <cellStyle name="PSHeading 8 2" xfId="5267"/>
    <cellStyle name="PSHeading 9" xfId="9515"/>
    <cellStyle name="PSHeading 9 2" xfId="5280"/>
    <cellStyle name="PSHeading 9 3" xfId="5284"/>
    <cellStyle name="PSInt" xfId="9516"/>
    <cellStyle name="PSInt 10" xfId="9519"/>
    <cellStyle name="PSInt 11" xfId="9520"/>
    <cellStyle name="PSInt 12" xfId="9521"/>
    <cellStyle name="PSInt 13" xfId="9522"/>
    <cellStyle name="PSInt 14" xfId="9523"/>
    <cellStyle name="PSInt 15" xfId="9524"/>
    <cellStyle name="PSInt 16" xfId="9526"/>
    <cellStyle name="PSInt 17" xfId="9528"/>
    <cellStyle name="PSInt 18" xfId="9530"/>
    <cellStyle name="PSInt 19" xfId="9532"/>
    <cellStyle name="PSInt 2" xfId="9534"/>
    <cellStyle name="PSInt 2 10" xfId="9537"/>
    <cellStyle name="PSInt 2 2" xfId="9538"/>
    <cellStyle name="PSInt 2 3" xfId="9539"/>
    <cellStyle name="PSInt 2 4" xfId="9540"/>
    <cellStyle name="PSInt 2 5" xfId="9542"/>
    <cellStyle name="PSInt 2 6" xfId="9544"/>
    <cellStyle name="PSInt 2 7" xfId="9546"/>
    <cellStyle name="PSInt 2 8" xfId="9548"/>
    <cellStyle name="PSInt 2 9" xfId="9550"/>
    <cellStyle name="PSInt 20" xfId="9525"/>
    <cellStyle name="PSInt 21" xfId="9527"/>
    <cellStyle name="PSInt 22" xfId="9529"/>
    <cellStyle name="PSInt 23" xfId="9531"/>
    <cellStyle name="PSInt 24" xfId="9533"/>
    <cellStyle name="PSInt 25" xfId="9552"/>
    <cellStyle name="PSInt 26" xfId="9553"/>
    <cellStyle name="PSInt 27" xfId="9554"/>
    <cellStyle name="PSInt 28" xfId="9555"/>
    <cellStyle name="PSInt 29" xfId="9556"/>
    <cellStyle name="PSInt 3" xfId="9557"/>
    <cellStyle name="PSInt 3 10" xfId="9560"/>
    <cellStyle name="PSInt 3 2" xfId="9561"/>
    <cellStyle name="PSInt 3 3" xfId="9562"/>
    <cellStyle name="PSInt 3 4" xfId="9563"/>
    <cellStyle name="PSInt 3 5" xfId="9565"/>
    <cellStyle name="PSInt 3 6" xfId="9567"/>
    <cellStyle name="PSInt 3 7" xfId="9569"/>
    <cellStyle name="PSInt 3 8" xfId="9571"/>
    <cellStyle name="PSInt 3 9" xfId="9573"/>
    <cellStyle name="PSInt 4" xfId="9575"/>
    <cellStyle name="PSInt 5" xfId="9578"/>
    <cellStyle name="PSInt 6" xfId="9579"/>
    <cellStyle name="PSInt 7" xfId="9580"/>
    <cellStyle name="PSInt 8" xfId="9581"/>
    <cellStyle name="PSInt 9" xfId="9582"/>
    <cellStyle name="PSSpacer" xfId="9583"/>
    <cellStyle name="PSSpacer 10" xfId="9587"/>
    <cellStyle name="PSSpacer 11" xfId="9590"/>
    <cellStyle name="PSSpacer 12" xfId="9591"/>
    <cellStyle name="PSSpacer 13" xfId="9592"/>
    <cellStyle name="PSSpacer 14" xfId="9593"/>
    <cellStyle name="PSSpacer 15" xfId="9595"/>
    <cellStyle name="PSSpacer 16" xfId="9598"/>
    <cellStyle name="PSSpacer 17" xfId="9601"/>
    <cellStyle name="PSSpacer 18" xfId="9604"/>
    <cellStyle name="PSSpacer 19" xfId="9607"/>
    <cellStyle name="PSSpacer 2" xfId="9610"/>
    <cellStyle name="PSSpacer 2 10" xfId="9613"/>
    <cellStyle name="PSSpacer 2 2" xfId="9616"/>
    <cellStyle name="PSSpacer 2 3" xfId="9619"/>
    <cellStyle name="PSSpacer 2 4" xfId="3163"/>
    <cellStyle name="PSSpacer 2 5" xfId="3169"/>
    <cellStyle name="PSSpacer 2 6" xfId="9622"/>
    <cellStyle name="PSSpacer 2 7" xfId="9626"/>
    <cellStyle name="PSSpacer 2 8" xfId="9630"/>
    <cellStyle name="PSSpacer 2 9" xfId="9634"/>
    <cellStyle name="PSSpacer 20" xfId="9596"/>
    <cellStyle name="PSSpacer 21" xfId="9599"/>
    <cellStyle name="PSSpacer 22" xfId="9602"/>
    <cellStyle name="PSSpacer 23" xfId="9605"/>
    <cellStyle name="PSSpacer 24" xfId="9608"/>
    <cellStyle name="PSSpacer 25" xfId="9636"/>
    <cellStyle name="PSSpacer 26" xfId="9638"/>
    <cellStyle name="PSSpacer 27" xfId="9640"/>
    <cellStyle name="PSSpacer 28" xfId="9641"/>
    <cellStyle name="PSSpacer 29" xfId="9642"/>
    <cellStyle name="PSSpacer 3" xfId="9643"/>
    <cellStyle name="PSSpacer 3 10" xfId="9646"/>
    <cellStyle name="PSSpacer 3 2" xfId="9647"/>
    <cellStyle name="PSSpacer 3 3" xfId="9652"/>
    <cellStyle name="PSSpacer 3 4" xfId="9657"/>
    <cellStyle name="PSSpacer 3 5" xfId="9662"/>
    <cellStyle name="PSSpacer 3 6" xfId="9667"/>
    <cellStyle name="PSSpacer 3 7" xfId="9672"/>
    <cellStyle name="PSSpacer 3 8" xfId="9677"/>
    <cellStyle name="PSSpacer 3 9" xfId="9680"/>
    <cellStyle name="PSSpacer 4" xfId="9681"/>
    <cellStyle name="PSSpacer 5" xfId="9684"/>
    <cellStyle name="PSSpacer 6" xfId="9689"/>
    <cellStyle name="PSSpacer 7" xfId="9696"/>
    <cellStyle name="PSSpacer 8" xfId="9703"/>
    <cellStyle name="PSSpacer 9" xfId="9710"/>
    <cellStyle name="regstoresfromspecstores" xfId="9719"/>
    <cellStyle name="regstoresfromspecstores 10" xfId="9720"/>
    <cellStyle name="regstoresfromspecstores 11" xfId="9722"/>
    <cellStyle name="regstoresfromspecstores 12" xfId="9723"/>
    <cellStyle name="regstoresfromspecstores 13" xfId="9726"/>
    <cellStyle name="regstoresfromspecstores 14" xfId="9727"/>
    <cellStyle name="regstoresfromspecstores 15" xfId="9728"/>
    <cellStyle name="regstoresfromspecstores 16" xfId="9730"/>
    <cellStyle name="regstoresfromspecstores 17" xfId="4473"/>
    <cellStyle name="regstoresfromspecstores 18" xfId="9732"/>
    <cellStyle name="regstoresfromspecstores 19" xfId="9734"/>
    <cellStyle name="regstoresfromspecstores 2" xfId="9736"/>
    <cellStyle name="regstoresfromspecstores 2 10" xfId="9737"/>
    <cellStyle name="regstoresfromspecstores 2 2" xfId="9738"/>
    <cellStyle name="regstoresfromspecstores 2 3" xfId="9740"/>
    <cellStyle name="regstoresfromspecstores 2 4" xfId="9742"/>
    <cellStyle name="regstoresfromspecstores 2 5" xfId="9744"/>
    <cellStyle name="regstoresfromspecstores 2 6" xfId="9746"/>
    <cellStyle name="regstoresfromspecstores 2 7" xfId="9747"/>
    <cellStyle name="regstoresfromspecstores 2 8" xfId="9748"/>
    <cellStyle name="regstoresfromspecstores 2 9" xfId="9749"/>
    <cellStyle name="regstoresfromspecstores 20" xfId="9729"/>
    <cellStyle name="regstoresfromspecstores 21" xfId="9731"/>
    <cellStyle name="regstoresfromspecstores 22" xfId="4474"/>
    <cellStyle name="regstoresfromspecstores 23" xfId="9733"/>
    <cellStyle name="regstoresfromspecstores 24" xfId="9735"/>
    <cellStyle name="regstoresfromspecstores 25" xfId="9750"/>
    <cellStyle name="regstoresfromspecstores 26" xfId="9751"/>
    <cellStyle name="regstoresfromspecstores 27" xfId="9752"/>
    <cellStyle name="regstoresfromspecstores 28" xfId="9753"/>
    <cellStyle name="regstoresfromspecstores 29" xfId="9754"/>
    <cellStyle name="regstoresfromspecstores 3" xfId="9755"/>
    <cellStyle name="regstoresfromspecstores 3 10" xfId="9756"/>
    <cellStyle name="regstoresfromspecstores 3 2" xfId="9758"/>
    <cellStyle name="regstoresfromspecstores 3 3" xfId="9759"/>
    <cellStyle name="regstoresfromspecstores 3 4" xfId="9760"/>
    <cellStyle name="regstoresfromspecstores 3 5" xfId="9761"/>
    <cellStyle name="regstoresfromspecstores 3 6" xfId="9762"/>
    <cellStyle name="regstoresfromspecstores 3 7" xfId="9763"/>
    <cellStyle name="regstoresfromspecstores 3 8" xfId="9764"/>
    <cellStyle name="regstoresfromspecstores 3 9" xfId="9765"/>
    <cellStyle name="regstoresfromspecstores 4" xfId="9766"/>
    <cellStyle name="regstoresfromspecstores 5" xfId="9767"/>
    <cellStyle name="regstoresfromspecstores 6" xfId="9768"/>
    <cellStyle name="regstoresfromspecstores 7" xfId="9769"/>
    <cellStyle name="regstoresfromspecstores 8" xfId="9770"/>
    <cellStyle name="regstoresfromspecstores 9" xfId="9771"/>
    <cellStyle name="RevList" xfId="9772"/>
    <cellStyle name="RevList 10" xfId="9773"/>
    <cellStyle name="RevList 10 2" xfId="9776"/>
    <cellStyle name="RevList 10 3" xfId="9777"/>
    <cellStyle name="RevList 11" xfId="9780"/>
    <cellStyle name="RevList 12" xfId="5199"/>
    <cellStyle name="RevList 13" xfId="9783"/>
    <cellStyle name="RevList 14" xfId="9784"/>
    <cellStyle name="RevList 15" xfId="9785"/>
    <cellStyle name="RevList 15 2" xfId="9787"/>
    <cellStyle name="RevList 15 3" xfId="9790"/>
    <cellStyle name="RevList 16" xfId="9793"/>
    <cellStyle name="RevList 16 2" xfId="9795"/>
    <cellStyle name="RevList 16 3" xfId="9797"/>
    <cellStyle name="RevList 17" xfId="9799"/>
    <cellStyle name="RevList 18" xfId="9801"/>
    <cellStyle name="RevList 19" xfId="9803"/>
    <cellStyle name="RevList 2" xfId="9805"/>
    <cellStyle name="RevList 2 10" xfId="5189"/>
    <cellStyle name="RevList 2 2" xfId="9806"/>
    <cellStyle name="RevList 2 3" xfId="9807"/>
    <cellStyle name="RevList 2 4" xfId="9808"/>
    <cellStyle name="RevList 2 5" xfId="9809"/>
    <cellStyle name="RevList 2 6" xfId="9810"/>
    <cellStyle name="RevList 2 7" xfId="9811"/>
    <cellStyle name="RevList 2 8" xfId="9812"/>
    <cellStyle name="RevList 2 9" xfId="9813"/>
    <cellStyle name="RevList 20" xfId="9786"/>
    <cellStyle name="RevList 21" xfId="9794"/>
    <cellStyle name="RevList 21 2" xfId="9796"/>
    <cellStyle name="RevList 21 3" xfId="9798"/>
    <cellStyle name="RevList 22" xfId="9800"/>
    <cellStyle name="RevList 23" xfId="9802"/>
    <cellStyle name="RevList 24" xfId="9804"/>
    <cellStyle name="RevList 25" xfId="9814"/>
    <cellStyle name="RevList 26" xfId="9815"/>
    <cellStyle name="RevList 27" xfId="9817"/>
    <cellStyle name="RevList 28" xfId="9821"/>
    <cellStyle name="RevList 29" xfId="5740"/>
    <cellStyle name="RevList 3" xfId="9825"/>
    <cellStyle name="RevList 3 10" xfId="9826"/>
    <cellStyle name="RevList 3 2" xfId="9827"/>
    <cellStyle name="RevList 3 3" xfId="9828"/>
    <cellStyle name="RevList 3 4" xfId="9829"/>
    <cellStyle name="RevList 3 5" xfId="9830"/>
    <cellStyle name="RevList 3 6" xfId="9831"/>
    <cellStyle name="RevList 3 7" xfId="9832"/>
    <cellStyle name="RevList 3 8" xfId="9833"/>
    <cellStyle name="RevList 3 9" xfId="9834"/>
    <cellStyle name="RevList 4" xfId="9835"/>
    <cellStyle name="RevList 5" xfId="9836"/>
    <cellStyle name="RevList 5 2" xfId="6968"/>
    <cellStyle name="RevList 5 3" xfId="6971"/>
    <cellStyle name="RevList 6" xfId="9837"/>
    <cellStyle name="RevList 6 2" xfId="9838"/>
    <cellStyle name="RevList 6 3" xfId="9840"/>
    <cellStyle name="RevList 7" xfId="9842"/>
    <cellStyle name="RevList 7 2" xfId="9843"/>
    <cellStyle name="RevList 7 3" xfId="9845"/>
    <cellStyle name="RevList 8" xfId="9847"/>
    <cellStyle name="RevList 9" xfId="9848"/>
    <cellStyle name="RowLevel_0" xfId="9849"/>
    <cellStyle name="S3" xfId="9850"/>
    <cellStyle name="S3 2" xfId="9851"/>
    <cellStyle name="S5" xfId="9852"/>
    <cellStyle name="S5 2" xfId="9853"/>
    <cellStyle name="S6" xfId="9854"/>
    <cellStyle name="S6 2" xfId="9857"/>
    <cellStyle name="S6 2 2" xfId="9858"/>
    <cellStyle name="S6 2 3" xfId="9860"/>
    <cellStyle name="S6 3" xfId="9861"/>
    <cellStyle name="S6 4" xfId="9862"/>
    <cellStyle name="SAPBEXHLevel1" xfId="7067"/>
    <cellStyle name="SAPBEXHLevel1 2" xfId="9863"/>
    <cellStyle name="SAPBEXHLevel1 2 2" xfId="9864"/>
    <cellStyle name="SAPBEXHLevel1 2 3" xfId="2926"/>
    <cellStyle name="SAPBEXHLevel1 2 4" xfId="4906"/>
    <cellStyle name="SAPBEXHLevel1 2 5" xfId="1007"/>
    <cellStyle name="SAPBEXHLevel1 2 6" xfId="1014"/>
    <cellStyle name="SAPBEXHLevel1 2 7" xfId="4908"/>
    <cellStyle name="SAPBEXHLevel1 2 8" xfId="4910"/>
    <cellStyle name="SAPBEXHLevel1 3" xfId="9865"/>
    <cellStyle name="SAPBEXHLevel1 4" xfId="9866"/>
    <cellStyle name="SAPBEXHLevel1 5" xfId="9870"/>
    <cellStyle name="SAPBEXHLevel1 6" xfId="9874"/>
    <cellStyle name="SAPBEXHLevel1 7" xfId="9877"/>
    <cellStyle name="SAPBEXHLevel1 8" xfId="9880"/>
    <cellStyle name="SAPBEXHLevel1 9" xfId="9883"/>
    <cellStyle name="SAPBEXstdData" xfId="9886"/>
    <cellStyle name="SAPBEXstdData 2" xfId="9103"/>
    <cellStyle name="SAPBEXstdData 2 2" xfId="9887"/>
    <cellStyle name="SAPBEXstdData 2 3" xfId="9891"/>
    <cellStyle name="SAPBEXstdData 2 4" xfId="9893"/>
    <cellStyle name="SAPBEXstdData 2 5" xfId="9895"/>
    <cellStyle name="SAPBEXstdData 2 6" xfId="9897"/>
    <cellStyle name="SAPBEXstdData 2 7" xfId="9899"/>
    <cellStyle name="SAPBEXstdData 2 8" xfId="9900"/>
    <cellStyle name="SAPBEXstdData 3" xfId="9901"/>
    <cellStyle name="SAPBEXstdData 4" xfId="9902"/>
    <cellStyle name="SAPBEXstdData 5" xfId="9905"/>
    <cellStyle name="SAPBEXstdData 6" xfId="9908"/>
    <cellStyle name="SAPBEXstdData 7" xfId="9911"/>
    <cellStyle name="SAPBEXstdData 8" xfId="9914"/>
    <cellStyle name="SAPBEXstdData 9" xfId="9917"/>
    <cellStyle name="SHADEDSTORES" xfId="9921"/>
    <cellStyle name="SHADEDSTORES 10" xfId="9924"/>
    <cellStyle name="SHADEDSTORES 10 10" xfId="9925"/>
    <cellStyle name="SHADEDSTORES 10 2" xfId="9926"/>
    <cellStyle name="SHADEDSTORES 10 2 2" xfId="9927"/>
    <cellStyle name="SHADEDSTORES 10 2 3" xfId="9929"/>
    <cellStyle name="SHADEDSTORES 10 2 4" xfId="4925"/>
    <cellStyle name="SHADEDSTORES 10 2 5" xfId="4930"/>
    <cellStyle name="SHADEDSTORES 10 2 6" xfId="9933"/>
    <cellStyle name="SHADEDSTORES 10 2 7" xfId="9936"/>
    <cellStyle name="SHADEDSTORES 10 2 8" xfId="9939"/>
    <cellStyle name="SHADEDSTORES 10 3" xfId="9942"/>
    <cellStyle name="SHADEDSTORES 10 3 2" xfId="9943"/>
    <cellStyle name="SHADEDSTORES 10 3 3" xfId="9944"/>
    <cellStyle name="SHADEDSTORES 10 3 4" xfId="4939"/>
    <cellStyle name="SHADEDSTORES 10 3 5" xfId="4942"/>
    <cellStyle name="SHADEDSTORES 10 3 6" xfId="9945"/>
    <cellStyle name="SHADEDSTORES 10 3 7" xfId="9946"/>
    <cellStyle name="SHADEDSTORES 10 3 8" xfId="9947"/>
    <cellStyle name="SHADEDSTORES 10 4" xfId="9948"/>
    <cellStyle name="SHADEDSTORES 10 5" xfId="9949"/>
    <cellStyle name="SHADEDSTORES 10 6" xfId="9950"/>
    <cellStyle name="SHADEDSTORES 10 7" xfId="9951"/>
    <cellStyle name="SHADEDSTORES 10 8" xfId="9952"/>
    <cellStyle name="SHADEDSTORES 10 9" xfId="9953"/>
    <cellStyle name="SHADEDSTORES 11" xfId="9955"/>
    <cellStyle name="SHADEDSTORES 11 10" xfId="9956"/>
    <cellStyle name="SHADEDSTORES 11 2" xfId="9957"/>
    <cellStyle name="SHADEDSTORES 11 2 2" xfId="9115"/>
    <cellStyle name="SHADEDSTORES 11 2 3" xfId="9118"/>
    <cellStyle name="SHADEDSTORES 11 2 4" xfId="9122"/>
    <cellStyle name="SHADEDSTORES 11 2 5" xfId="9126"/>
    <cellStyle name="SHADEDSTORES 11 2 6" xfId="9958"/>
    <cellStyle name="SHADEDSTORES 11 2 7" xfId="9357"/>
    <cellStyle name="SHADEDSTORES 11 2 8" xfId="9960"/>
    <cellStyle name="SHADEDSTORES 11 3" xfId="9962"/>
    <cellStyle name="SHADEDSTORES 11 3 2" xfId="9963"/>
    <cellStyle name="SHADEDSTORES 11 3 3" xfId="9964"/>
    <cellStyle name="SHADEDSTORES 11 3 4" xfId="9965"/>
    <cellStyle name="SHADEDSTORES 11 3 5" xfId="9967"/>
    <cellStyle name="SHADEDSTORES 11 3 6" xfId="9969"/>
    <cellStyle name="SHADEDSTORES 11 3 7" xfId="9368"/>
    <cellStyle name="SHADEDSTORES 11 3 8" xfId="9970"/>
    <cellStyle name="SHADEDSTORES 11 4" xfId="9971"/>
    <cellStyle name="SHADEDSTORES 11 5" xfId="9972"/>
    <cellStyle name="SHADEDSTORES 11 6" xfId="9973"/>
    <cellStyle name="SHADEDSTORES 11 7" xfId="9974"/>
    <cellStyle name="SHADEDSTORES 11 8" xfId="9975"/>
    <cellStyle name="SHADEDSTORES 11 9" xfId="9976"/>
    <cellStyle name="SHADEDSTORES 12" xfId="9977"/>
    <cellStyle name="SHADEDSTORES 12 10" xfId="9978"/>
    <cellStyle name="SHADEDSTORES 12 2" xfId="9979"/>
    <cellStyle name="SHADEDSTORES 12 2 2" xfId="5112"/>
    <cellStyle name="SHADEDSTORES 12 2 3" xfId="5161"/>
    <cellStyle name="SHADEDSTORES 12 2 4" xfId="5164"/>
    <cellStyle name="SHADEDSTORES 12 2 5" xfId="5175"/>
    <cellStyle name="SHADEDSTORES 12 2 6" xfId="1553"/>
    <cellStyle name="SHADEDSTORES 12 2 7" xfId="1564"/>
    <cellStyle name="SHADEDSTORES 12 2 8" xfId="2019"/>
    <cellStyle name="SHADEDSTORES 12 3" xfId="9982"/>
    <cellStyle name="SHADEDSTORES 12 3 2" xfId="9985"/>
    <cellStyle name="SHADEDSTORES 12 3 3" xfId="9986"/>
    <cellStyle name="SHADEDSTORES 12 3 4" xfId="9987"/>
    <cellStyle name="SHADEDSTORES 12 3 5" xfId="9988"/>
    <cellStyle name="SHADEDSTORES 12 3 6" xfId="9989"/>
    <cellStyle name="SHADEDSTORES 12 3 7" xfId="9990"/>
    <cellStyle name="SHADEDSTORES 12 3 8" xfId="9991"/>
    <cellStyle name="SHADEDSTORES 12 4" xfId="9992"/>
    <cellStyle name="SHADEDSTORES 12 5" xfId="9995"/>
    <cellStyle name="SHADEDSTORES 12 6" xfId="9996"/>
    <cellStyle name="SHADEDSTORES 12 7" xfId="9997"/>
    <cellStyle name="SHADEDSTORES 12 8" xfId="326"/>
    <cellStyle name="SHADEDSTORES 12 9" xfId="329"/>
    <cellStyle name="SHADEDSTORES 13" xfId="9998"/>
    <cellStyle name="SHADEDSTORES 13 10" xfId="9999"/>
    <cellStyle name="SHADEDSTORES 13 2" xfId="10002"/>
    <cellStyle name="SHADEDSTORES 13 2 2" xfId="6562"/>
    <cellStyle name="SHADEDSTORES 13 2 3" xfId="6567"/>
    <cellStyle name="SHADEDSTORES 13 2 4" xfId="6571"/>
    <cellStyle name="SHADEDSTORES 13 2 5" xfId="6578"/>
    <cellStyle name="SHADEDSTORES 13 2 6" xfId="10006"/>
    <cellStyle name="SHADEDSTORES 13 2 7" xfId="10008"/>
    <cellStyle name="SHADEDSTORES 13 2 8" xfId="8870"/>
    <cellStyle name="SHADEDSTORES 13 3" xfId="10010"/>
    <cellStyle name="SHADEDSTORES 13 3 2" xfId="10014"/>
    <cellStyle name="SHADEDSTORES 13 3 3" xfId="10016"/>
    <cellStyle name="SHADEDSTORES 13 3 4" xfId="10018"/>
    <cellStyle name="SHADEDSTORES 13 3 5" xfId="10020"/>
    <cellStyle name="SHADEDSTORES 13 3 6" xfId="10022"/>
    <cellStyle name="SHADEDSTORES 13 3 7" xfId="10024"/>
    <cellStyle name="SHADEDSTORES 13 3 8" xfId="8876"/>
    <cellStyle name="SHADEDSTORES 13 4" xfId="5206"/>
    <cellStyle name="SHADEDSTORES 13 5" xfId="10026"/>
    <cellStyle name="SHADEDSTORES 13 6" xfId="10028"/>
    <cellStyle name="SHADEDSTORES 13 7" xfId="10030"/>
    <cellStyle name="SHADEDSTORES 13 8" xfId="10031"/>
    <cellStyle name="SHADEDSTORES 13 9" xfId="10032"/>
    <cellStyle name="SHADEDSTORES 14" xfId="10033"/>
    <cellStyle name="SHADEDSTORES 14 10" xfId="10034"/>
    <cellStyle name="SHADEDSTORES 14 2" xfId="10035"/>
    <cellStyle name="SHADEDSTORES 14 2 2" xfId="10036"/>
    <cellStyle name="SHADEDSTORES 14 2 3" xfId="10041"/>
    <cellStyle name="SHADEDSTORES 14 2 4" xfId="10046"/>
    <cellStyle name="SHADEDSTORES 14 2 5" xfId="10051"/>
    <cellStyle name="SHADEDSTORES 14 2 6" xfId="10054"/>
    <cellStyle name="SHADEDSTORES 14 2 7" xfId="10055"/>
    <cellStyle name="SHADEDSTORES 14 2 8" xfId="8927"/>
    <cellStyle name="SHADEDSTORES 14 3" xfId="10056"/>
    <cellStyle name="SHADEDSTORES 14 3 2" xfId="10057"/>
    <cellStyle name="SHADEDSTORES 14 3 3" xfId="10060"/>
    <cellStyle name="SHADEDSTORES 14 3 4" xfId="10063"/>
    <cellStyle name="SHADEDSTORES 14 3 5" xfId="10066"/>
    <cellStyle name="SHADEDSTORES 14 3 6" xfId="10067"/>
    <cellStyle name="SHADEDSTORES 14 3 7" xfId="10068"/>
    <cellStyle name="SHADEDSTORES 14 3 8" xfId="8933"/>
    <cellStyle name="SHADEDSTORES 14 4" xfId="10069"/>
    <cellStyle name="SHADEDSTORES 14 5" xfId="10070"/>
    <cellStyle name="SHADEDSTORES 14 6" xfId="10071"/>
    <cellStyle name="SHADEDSTORES 14 7" xfId="10072"/>
    <cellStyle name="SHADEDSTORES 14 8" xfId="10073"/>
    <cellStyle name="SHADEDSTORES 14 9" xfId="10074"/>
    <cellStyle name="SHADEDSTORES 15" xfId="10075"/>
    <cellStyle name="SHADEDSTORES 15 10" xfId="10077"/>
    <cellStyle name="SHADEDSTORES 15 2" xfId="10080"/>
    <cellStyle name="SHADEDSTORES 15 2 2" xfId="10082"/>
    <cellStyle name="SHADEDSTORES 15 2 3" xfId="10087"/>
    <cellStyle name="SHADEDSTORES 15 2 4" xfId="10092"/>
    <cellStyle name="SHADEDSTORES 15 2 5" xfId="10096"/>
    <cellStyle name="SHADEDSTORES 15 2 6" xfId="10098"/>
    <cellStyle name="SHADEDSTORES 15 2 7" xfId="10100"/>
    <cellStyle name="SHADEDSTORES 15 2 8" xfId="10102"/>
    <cellStyle name="SHADEDSTORES 15 3" xfId="10104"/>
    <cellStyle name="SHADEDSTORES 15 3 2" xfId="10106"/>
    <cellStyle name="SHADEDSTORES 15 3 3" xfId="10109"/>
    <cellStyle name="SHADEDSTORES 15 3 4" xfId="10112"/>
    <cellStyle name="SHADEDSTORES 15 3 5" xfId="10114"/>
    <cellStyle name="SHADEDSTORES 15 3 6" xfId="10116"/>
    <cellStyle name="SHADEDSTORES 15 3 7" xfId="10118"/>
    <cellStyle name="SHADEDSTORES 15 3 8" xfId="10120"/>
    <cellStyle name="SHADEDSTORES 15 4" xfId="10122"/>
    <cellStyle name="SHADEDSTORES 15 5" xfId="10124"/>
    <cellStyle name="SHADEDSTORES 15 6" xfId="10126"/>
    <cellStyle name="SHADEDSTORES 15 7" xfId="10128"/>
    <cellStyle name="SHADEDSTORES 15 8" xfId="10130"/>
    <cellStyle name="SHADEDSTORES 15 9" xfId="10132"/>
    <cellStyle name="SHADEDSTORES 16" xfId="10135"/>
    <cellStyle name="SHADEDSTORES 16 10" xfId="10137"/>
    <cellStyle name="SHADEDSTORES 16 2" xfId="10139"/>
    <cellStyle name="SHADEDSTORES 16 2 2" xfId="10141"/>
    <cellStyle name="SHADEDSTORES 16 2 3" xfId="10145"/>
    <cellStyle name="SHADEDSTORES 16 2 4" xfId="10149"/>
    <cellStyle name="SHADEDSTORES 16 2 5" xfId="10153"/>
    <cellStyle name="SHADEDSTORES 16 2 6" xfId="10155"/>
    <cellStyle name="SHADEDSTORES 16 2 7" xfId="10157"/>
    <cellStyle name="SHADEDSTORES 16 2 8" xfId="4271"/>
    <cellStyle name="SHADEDSTORES 16 3" xfId="10159"/>
    <cellStyle name="SHADEDSTORES 16 3 2" xfId="10161"/>
    <cellStyle name="SHADEDSTORES 16 3 3" xfId="10163"/>
    <cellStyle name="SHADEDSTORES 16 3 4" xfId="10165"/>
    <cellStyle name="SHADEDSTORES 16 3 5" xfId="10167"/>
    <cellStyle name="SHADEDSTORES 16 3 6" xfId="10169"/>
    <cellStyle name="SHADEDSTORES 16 3 7" xfId="10171"/>
    <cellStyle name="SHADEDSTORES 16 3 8" xfId="4281"/>
    <cellStyle name="SHADEDSTORES 16 4" xfId="10173"/>
    <cellStyle name="SHADEDSTORES 16 5" xfId="10175"/>
    <cellStyle name="SHADEDSTORES 16 6" xfId="10177"/>
    <cellStyle name="SHADEDSTORES 16 7" xfId="10179"/>
    <cellStyle name="SHADEDSTORES 16 8" xfId="10181"/>
    <cellStyle name="SHADEDSTORES 16 9" xfId="10183"/>
    <cellStyle name="SHADEDSTORES 17" xfId="10185"/>
    <cellStyle name="SHADEDSTORES 17 10" xfId="10187"/>
    <cellStyle name="SHADEDSTORES 17 2" xfId="10189"/>
    <cellStyle name="SHADEDSTORES 17 2 2" xfId="10191"/>
    <cellStyle name="SHADEDSTORES 17 2 3" xfId="10195"/>
    <cellStyle name="SHADEDSTORES 17 2 4" xfId="10199"/>
    <cellStyle name="SHADEDSTORES 17 2 5" xfId="10203"/>
    <cellStyle name="SHADEDSTORES 17 2 6" xfId="10205"/>
    <cellStyle name="SHADEDSTORES 17 2 7" xfId="10207"/>
    <cellStyle name="SHADEDSTORES 17 2 8" xfId="727"/>
    <cellStyle name="SHADEDSTORES 17 3" xfId="10209"/>
    <cellStyle name="SHADEDSTORES 17 3 2" xfId="10211"/>
    <cellStyle name="SHADEDSTORES 17 3 3" xfId="10213"/>
    <cellStyle name="SHADEDSTORES 17 3 4" xfId="10215"/>
    <cellStyle name="SHADEDSTORES 17 3 5" xfId="10217"/>
    <cellStyle name="SHADEDSTORES 17 3 6" xfId="10219"/>
    <cellStyle name="SHADEDSTORES 17 3 7" xfId="10221"/>
    <cellStyle name="SHADEDSTORES 17 3 8" xfId="4353"/>
    <cellStyle name="SHADEDSTORES 17 4" xfId="10223"/>
    <cellStyle name="SHADEDSTORES 17 5" xfId="10225"/>
    <cellStyle name="SHADEDSTORES 17 6" xfId="10227"/>
    <cellStyle name="SHADEDSTORES 17 7" xfId="10230"/>
    <cellStyle name="SHADEDSTORES 17 8" xfId="10232"/>
    <cellStyle name="SHADEDSTORES 17 9" xfId="10234"/>
    <cellStyle name="SHADEDSTORES 18" xfId="10236"/>
    <cellStyle name="SHADEDSTORES 18 10" xfId="10238"/>
    <cellStyle name="SHADEDSTORES 18 2" xfId="10240"/>
    <cellStyle name="SHADEDSTORES 18 2 2" xfId="3481"/>
    <cellStyle name="SHADEDSTORES 18 2 3" xfId="10243"/>
    <cellStyle name="SHADEDSTORES 18 2 4" xfId="10250"/>
    <cellStyle name="SHADEDSTORES 18 2 5" xfId="10257"/>
    <cellStyle name="SHADEDSTORES 18 2 6" xfId="10262"/>
    <cellStyle name="SHADEDSTORES 18 2 7" xfId="10267"/>
    <cellStyle name="SHADEDSTORES 18 2 8" xfId="10272"/>
    <cellStyle name="SHADEDSTORES 18 3" xfId="10279"/>
    <cellStyle name="SHADEDSTORES 18 3 2" xfId="7603"/>
    <cellStyle name="SHADEDSTORES 18 3 3" xfId="10282"/>
    <cellStyle name="SHADEDSTORES 18 3 4" xfId="10286"/>
    <cellStyle name="SHADEDSTORES 18 3 5" xfId="10290"/>
    <cellStyle name="SHADEDSTORES 18 3 6" xfId="10294"/>
    <cellStyle name="SHADEDSTORES 18 3 7" xfId="10298"/>
    <cellStyle name="SHADEDSTORES 18 3 8" xfId="10302"/>
    <cellStyle name="SHADEDSTORES 18 4" xfId="10308"/>
    <cellStyle name="SHADEDSTORES 18 5" xfId="10311"/>
    <cellStyle name="SHADEDSTORES 18 6" xfId="10314"/>
    <cellStyle name="SHADEDSTORES 18 7" xfId="10317"/>
    <cellStyle name="SHADEDSTORES 18 8" xfId="10320"/>
    <cellStyle name="SHADEDSTORES 18 9" xfId="10323"/>
    <cellStyle name="SHADEDSTORES 19" xfId="10325"/>
    <cellStyle name="SHADEDSTORES 19 10" xfId="10327"/>
    <cellStyle name="SHADEDSTORES 19 2" xfId="10329"/>
    <cellStyle name="SHADEDSTORES 19 2 2" xfId="7770"/>
    <cellStyle name="SHADEDSTORES 19 2 3" xfId="10332"/>
    <cellStyle name="SHADEDSTORES 19 2 4" xfId="10337"/>
    <cellStyle name="SHADEDSTORES 19 2 5" xfId="10342"/>
    <cellStyle name="SHADEDSTORES 19 2 6" xfId="10345"/>
    <cellStyle name="SHADEDSTORES 19 2 7" xfId="10348"/>
    <cellStyle name="SHADEDSTORES 19 2 8" xfId="10351"/>
    <cellStyle name="SHADEDSTORES 19 3" xfId="10354"/>
    <cellStyle name="SHADEDSTORES 19 3 2" xfId="7784"/>
    <cellStyle name="SHADEDSTORES 19 3 3" xfId="10357"/>
    <cellStyle name="SHADEDSTORES 19 3 4" xfId="10360"/>
    <cellStyle name="SHADEDSTORES 19 3 5" xfId="10362"/>
    <cellStyle name="SHADEDSTORES 19 3 6" xfId="10364"/>
    <cellStyle name="SHADEDSTORES 19 3 7" xfId="10366"/>
    <cellStyle name="SHADEDSTORES 19 3 8" xfId="10368"/>
    <cellStyle name="SHADEDSTORES 19 4" xfId="10370"/>
    <cellStyle name="SHADEDSTORES 19 5" xfId="10373"/>
    <cellStyle name="SHADEDSTORES 19 6" xfId="10376"/>
    <cellStyle name="SHADEDSTORES 19 7" xfId="10379"/>
    <cellStyle name="SHADEDSTORES 19 8" xfId="10382"/>
    <cellStyle name="SHADEDSTORES 19 9" xfId="10385"/>
    <cellStyle name="SHADEDSTORES 2" xfId="10387"/>
    <cellStyle name="SHADEDSTORES 2 10" xfId="10388"/>
    <cellStyle name="SHADEDSTORES 2 10 10" xfId="10389"/>
    <cellStyle name="SHADEDSTORES 2 10 2" xfId="10390"/>
    <cellStyle name="SHADEDSTORES 2 10 2 2" xfId="850"/>
    <cellStyle name="SHADEDSTORES 2 10 2 3" xfId="855"/>
    <cellStyle name="SHADEDSTORES 2 10 2 4" xfId="860"/>
    <cellStyle name="SHADEDSTORES 2 10 2 5" xfId="10395"/>
    <cellStyle name="SHADEDSTORES 2 10 2 6" xfId="10396"/>
    <cellStyle name="SHADEDSTORES 2 10 2 7" xfId="345"/>
    <cellStyle name="SHADEDSTORES 2 10 2 8" xfId="362"/>
    <cellStyle name="SHADEDSTORES 2 10 3" xfId="10397"/>
    <cellStyle name="SHADEDSTORES 2 10 3 2" xfId="10402"/>
    <cellStyle name="SHADEDSTORES 2 10 3 3" xfId="10403"/>
    <cellStyle name="SHADEDSTORES 2 10 3 4" xfId="10404"/>
    <cellStyle name="SHADEDSTORES 2 10 3 5" xfId="10405"/>
    <cellStyle name="SHADEDSTORES 2 10 3 6" xfId="10406"/>
    <cellStyle name="SHADEDSTORES 2 10 3 7" xfId="78"/>
    <cellStyle name="SHADEDSTORES 2 10 3 8" xfId="47"/>
    <cellStyle name="SHADEDSTORES 2 10 4" xfId="10407"/>
    <cellStyle name="SHADEDSTORES 2 10 5" xfId="10410"/>
    <cellStyle name="SHADEDSTORES 2 10 6" xfId="10413"/>
    <cellStyle name="SHADEDSTORES 2 10 7" xfId="10414"/>
    <cellStyle name="SHADEDSTORES 2 10 8" xfId="10415"/>
    <cellStyle name="SHADEDSTORES 2 10 9" xfId="5127"/>
    <cellStyle name="SHADEDSTORES 2 11" xfId="10416"/>
    <cellStyle name="SHADEDSTORES 2 11 2" xfId="10417"/>
    <cellStyle name="SHADEDSTORES 2 11 3" xfId="10420"/>
    <cellStyle name="SHADEDSTORES 2 11 4" xfId="10423"/>
    <cellStyle name="SHADEDSTORES 2 11 5" xfId="3174"/>
    <cellStyle name="SHADEDSTORES 2 11 6" xfId="10426"/>
    <cellStyle name="SHADEDSTORES 2 11 7" xfId="10428"/>
    <cellStyle name="SHADEDSTORES 2 11 8" xfId="10429"/>
    <cellStyle name="SHADEDSTORES 2 12" xfId="10430"/>
    <cellStyle name="SHADEDSTORES 2 12 2" xfId="10433"/>
    <cellStyle name="SHADEDSTORES 2 12 3" xfId="10436"/>
    <cellStyle name="SHADEDSTORES 2 12 4" xfId="10440"/>
    <cellStyle name="SHADEDSTORES 2 12 5" xfId="10444"/>
    <cellStyle name="SHADEDSTORES 2 12 6" xfId="10448"/>
    <cellStyle name="SHADEDSTORES 2 12 7" xfId="10450"/>
    <cellStyle name="SHADEDSTORES 2 12 8" xfId="10452"/>
    <cellStyle name="SHADEDSTORES 2 13" xfId="10454"/>
    <cellStyle name="SHADEDSTORES 2 14" xfId="10457"/>
    <cellStyle name="SHADEDSTORES 2 15" xfId="10460"/>
    <cellStyle name="SHADEDSTORES 2 16" xfId="10463"/>
    <cellStyle name="SHADEDSTORES 2 17" xfId="10466"/>
    <cellStyle name="SHADEDSTORES 2 18" xfId="10469"/>
    <cellStyle name="SHADEDSTORES 2 19" xfId="9238"/>
    <cellStyle name="SHADEDSTORES 2 2" xfId="6555"/>
    <cellStyle name="SHADEDSTORES 2 2 10" xfId="10472"/>
    <cellStyle name="SHADEDSTORES 2 2 2" xfId="10473"/>
    <cellStyle name="SHADEDSTORES 2 2 2 2" xfId="10477"/>
    <cellStyle name="SHADEDSTORES 2 2 2 3" xfId="10478"/>
    <cellStyle name="SHADEDSTORES 2 2 2 4" xfId="10479"/>
    <cellStyle name="SHADEDSTORES 2 2 2 5" xfId="10480"/>
    <cellStyle name="SHADEDSTORES 2 2 2 6" xfId="10481"/>
    <cellStyle name="SHADEDSTORES 2 2 2 7" xfId="10482"/>
    <cellStyle name="SHADEDSTORES 2 2 2 8" xfId="10483"/>
    <cellStyle name="SHADEDSTORES 2 2 3" xfId="4380"/>
    <cellStyle name="SHADEDSTORES 2 2 3 2" xfId="10484"/>
    <cellStyle name="SHADEDSTORES 2 2 3 3" xfId="10487"/>
    <cellStyle name="SHADEDSTORES 2 2 3 4" xfId="1220"/>
    <cellStyle name="SHADEDSTORES 2 2 3 5" xfId="1224"/>
    <cellStyle name="SHADEDSTORES 2 2 3 6" xfId="10490"/>
    <cellStyle name="SHADEDSTORES 2 2 3 7" xfId="10493"/>
    <cellStyle name="SHADEDSTORES 2 2 3 8" xfId="10494"/>
    <cellStyle name="SHADEDSTORES 2 2 4" xfId="4390"/>
    <cellStyle name="SHADEDSTORES 2 2 5" xfId="10495"/>
    <cellStyle name="SHADEDSTORES 2 2 6" xfId="10497"/>
    <cellStyle name="SHADEDSTORES 2 2 7" xfId="10498"/>
    <cellStyle name="SHADEDSTORES 2 2 8" xfId="10499"/>
    <cellStyle name="SHADEDSTORES 2 2 9" xfId="10500"/>
    <cellStyle name="SHADEDSTORES 2 3" xfId="10501"/>
    <cellStyle name="SHADEDSTORES 2 3 10" xfId="10502"/>
    <cellStyle name="SHADEDSTORES 2 3 2" xfId="3145"/>
    <cellStyle name="SHADEDSTORES 2 3 2 2" xfId="3147"/>
    <cellStyle name="SHADEDSTORES 2 3 2 3" xfId="3149"/>
    <cellStyle name="SHADEDSTORES 2 3 2 4" xfId="10503"/>
    <cellStyle name="SHADEDSTORES 2 3 2 5" xfId="10504"/>
    <cellStyle name="SHADEDSTORES 2 3 2 6" xfId="10505"/>
    <cellStyle name="SHADEDSTORES 2 3 2 7" xfId="7534"/>
    <cellStyle name="SHADEDSTORES 2 3 2 8" xfId="2193"/>
    <cellStyle name="SHADEDSTORES 2 3 3" xfId="3156"/>
    <cellStyle name="SHADEDSTORES 2 3 3 2" xfId="3162"/>
    <cellStyle name="SHADEDSTORES 2 3 3 3" xfId="3168"/>
    <cellStyle name="SHADEDSTORES 2 3 3 4" xfId="9623"/>
    <cellStyle name="SHADEDSTORES 2 3 3 5" xfId="9627"/>
    <cellStyle name="SHADEDSTORES 2 3 3 6" xfId="9631"/>
    <cellStyle name="SHADEDSTORES 2 3 3 7" xfId="9635"/>
    <cellStyle name="SHADEDSTORES 2 3 3 8" xfId="10506"/>
    <cellStyle name="SHADEDSTORES 2 3 4" xfId="10507"/>
    <cellStyle name="SHADEDSTORES 2 3 5" xfId="10510"/>
    <cellStyle name="SHADEDSTORES 2 3 6" xfId="10511"/>
    <cellStyle name="SHADEDSTORES 2 3 7" xfId="10512"/>
    <cellStyle name="SHADEDSTORES 2 3 8" xfId="10513"/>
    <cellStyle name="SHADEDSTORES 2 3 9" xfId="10514"/>
    <cellStyle name="SHADEDSTORES 2 4" xfId="10515"/>
    <cellStyle name="SHADEDSTORES 2 4 10" xfId="10517"/>
    <cellStyle name="SHADEDSTORES 2 4 2" xfId="3213"/>
    <cellStyle name="SHADEDSTORES 2 4 2 2" xfId="3221"/>
    <cellStyle name="SHADEDSTORES 2 4 2 3" xfId="3225"/>
    <cellStyle name="SHADEDSTORES 2 4 2 4" xfId="10518"/>
    <cellStyle name="SHADEDSTORES 2 4 2 5" xfId="10521"/>
    <cellStyle name="SHADEDSTORES 2 4 2 6" xfId="10526"/>
    <cellStyle name="SHADEDSTORES 2 4 2 7" xfId="5336"/>
    <cellStyle name="SHADEDSTORES 2 4 2 8" xfId="2543"/>
    <cellStyle name="SHADEDSTORES 2 4 3" xfId="3227"/>
    <cellStyle name="SHADEDSTORES 2 4 3 2" xfId="3238"/>
    <cellStyle name="SHADEDSTORES 2 4 3 3" xfId="3242"/>
    <cellStyle name="SHADEDSTORES 2 4 3 4" xfId="10531"/>
    <cellStyle name="SHADEDSTORES 2 4 3 5" xfId="10534"/>
    <cellStyle name="SHADEDSTORES 2 4 3 6" xfId="10539"/>
    <cellStyle name="SHADEDSTORES 2 4 3 7" xfId="10544"/>
    <cellStyle name="SHADEDSTORES 2 4 3 8" xfId="10547"/>
    <cellStyle name="SHADEDSTORES 2 4 4" xfId="10550"/>
    <cellStyle name="SHADEDSTORES 2 4 5" xfId="10551"/>
    <cellStyle name="SHADEDSTORES 2 4 6" xfId="10552"/>
    <cellStyle name="SHADEDSTORES 2 4 7" xfId="10553"/>
    <cellStyle name="SHADEDSTORES 2 4 8" xfId="10554"/>
    <cellStyle name="SHADEDSTORES 2 4 9" xfId="10555"/>
    <cellStyle name="SHADEDSTORES 2 5" xfId="10556"/>
    <cellStyle name="SHADEDSTORES 2 5 10" xfId="10558"/>
    <cellStyle name="SHADEDSTORES 2 5 2" xfId="10561"/>
    <cellStyle name="SHADEDSTORES 2 5 2 2" xfId="10564"/>
    <cellStyle name="SHADEDSTORES 2 5 2 3" xfId="10566"/>
    <cellStyle name="SHADEDSTORES 2 5 2 4" xfId="10568"/>
    <cellStyle name="SHADEDSTORES 2 5 2 5" xfId="10570"/>
    <cellStyle name="SHADEDSTORES 2 5 2 6" xfId="10571"/>
    <cellStyle name="SHADEDSTORES 2 5 2 7" xfId="10572"/>
    <cellStyle name="SHADEDSTORES 2 5 2 8" xfId="10573"/>
    <cellStyle name="SHADEDSTORES 2 5 3" xfId="10574"/>
    <cellStyle name="SHADEDSTORES 2 5 3 2" xfId="10575"/>
    <cellStyle name="SHADEDSTORES 2 5 3 3" xfId="10579"/>
    <cellStyle name="SHADEDSTORES 2 5 3 4" xfId="10583"/>
    <cellStyle name="SHADEDSTORES 2 5 3 5" xfId="10587"/>
    <cellStyle name="SHADEDSTORES 2 5 3 6" xfId="10590"/>
    <cellStyle name="SHADEDSTORES 2 5 3 7" xfId="10593"/>
    <cellStyle name="SHADEDSTORES 2 5 3 8" xfId="10594"/>
    <cellStyle name="SHADEDSTORES 2 5 4" xfId="10595"/>
    <cellStyle name="SHADEDSTORES 2 5 5" xfId="10596"/>
    <cellStyle name="SHADEDSTORES 2 5 6" xfId="10597"/>
    <cellStyle name="SHADEDSTORES 2 5 7" xfId="10598"/>
    <cellStyle name="SHADEDSTORES 2 5 8" xfId="10599"/>
    <cellStyle name="SHADEDSTORES 2 5 9" xfId="10600"/>
    <cellStyle name="SHADEDSTORES 2 6" xfId="10601"/>
    <cellStyle name="SHADEDSTORES 2 6 10" xfId="10603"/>
    <cellStyle name="SHADEDSTORES 2 6 2" xfId="7234"/>
    <cellStyle name="SHADEDSTORES 2 6 2 2" xfId="10604"/>
    <cellStyle name="SHADEDSTORES 2 6 2 3" xfId="10605"/>
    <cellStyle name="SHADEDSTORES 2 6 2 4" xfId="10606"/>
    <cellStyle name="SHADEDSTORES 2 6 2 5" xfId="10607"/>
    <cellStyle name="SHADEDSTORES 2 6 2 6" xfId="10608"/>
    <cellStyle name="SHADEDSTORES 2 6 2 7" xfId="10609"/>
    <cellStyle name="SHADEDSTORES 2 6 2 8" xfId="10610"/>
    <cellStyle name="SHADEDSTORES 2 6 3" xfId="10611"/>
    <cellStyle name="SHADEDSTORES 2 6 3 2" xfId="10612"/>
    <cellStyle name="SHADEDSTORES 2 6 3 3" xfId="10615"/>
    <cellStyle name="SHADEDSTORES 2 6 3 4" xfId="10618"/>
    <cellStyle name="SHADEDSTORES 2 6 3 5" xfId="10621"/>
    <cellStyle name="SHADEDSTORES 2 6 3 6" xfId="10624"/>
    <cellStyle name="SHADEDSTORES 2 6 3 7" xfId="10627"/>
    <cellStyle name="SHADEDSTORES 2 6 3 8" xfId="10628"/>
    <cellStyle name="SHADEDSTORES 2 6 4" xfId="10629"/>
    <cellStyle name="SHADEDSTORES 2 6 5" xfId="10630"/>
    <cellStyle name="SHADEDSTORES 2 6 6" xfId="10631"/>
    <cellStyle name="SHADEDSTORES 2 6 7" xfId="10632"/>
    <cellStyle name="SHADEDSTORES 2 6 8" xfId="10633"/>
    <cellStyle name="SHADEDSTORES 2 6 9" xfId="10634"/>
    <cellStyle name="SHADEDSTORES 2 7" xfId="10635"/>
    <cellStyle name="SHADEDSTORES 2 7 10" xfId="10637"/>
    <cellStyle name="SHADEDSTORES 2 7 2" xfId="10638"/>
    <cellStyle name="SHADEDSTORES 2 7 2 2" xfId="10640"/>
    <cellStyle name="SHADEDSTORES 2 7 2 3" xfId="10642"/>
    <cellStyle name="SHADEDSTORES 2 7 2 4" xfId="10644"/>
    <cellStyle name="SHADEDSTORES 2 7 2 5" xfId="10646"/>
    <cellStyle name="SHADEDSTORES 2 7 2 6" xfId="10648"/>
    <cellStyle name="SHADEDSTORES 2 7 2 7" xfId="10649"/>
    <cellStyle name="SHADEDSTORES 2 7 2 8" xfId="10650"/>
    <cellStyle name="SHADEDSTORES 2 7 3" xfId="10651"/>
    <cellStyle name="SHADEDSTORES 2 7 3 2" xfId="10653"/>
    <cellStyle name="SHADEDSTORES 2 7 3 3" xfId="10656"/>
    <cellStyle name="SHADEDSTORES 2 7 3 4" xfId="10659"/>
    <cellStyle name="SHADEDSTORES 2 7 3 5" xfId="10662"/>
    <cellStyle name="SHADEDSTORES 2 7 3 6" xfId="10665"/>
    <cellStyle name="SHADEDSTORES 2 7 3 7" xfId="10667"/>
    <cellStyle name="SHADEDSTORES 2 7 3 8" xfId="4541"/>
    <cellStyle name="SHADEDSTORES 2 7 4" xfId="10668"/>
    <cellStyle name="SHADEDSTORES 2 7 5" xfId="10669"/>
    <cellStyle name="SHADEDSTORES 2 7 6" xfId="10670"/>
    <cellStyle name="SHADEDSTORES 2 7 7" xfId="10671"/>
    <cellStyle name="SHADEDSTORES 2 7 8" xfId="10672"/>
    <cellStyle name="SHADEDSTORES 2 7 9" xfId="10673"/>
    <cellStyle name="SHADEDSTORES 2 8" xfId="10674"/>
    <cellStyle name="SHADEDSTORES 2 8 10" xfId="10676"/>
    <cellStyle name="SHADEDSTORES 2 8 2" xfId="10677"/>
    <cellStyle name="SHADEDSTORES 2 8 2 2" xfId="10678"/>
    <cellStyle name="SHADEDSTORES 2 8 2 3" xfId="10679"/>
    <cellStyle name="SHADEDSTORES 2 8 2 4" xfId="10680"/>
    <cellStyle name="SHADEDSTORES 2 8 2 5" xfId="10681"/>
    <cellStyle name="SHADEDSTORES 2 8 2 6" xfId="6689"/>
    <cellStyle name="SHADEDSTORES 2 8 2 7" xfId="10682"/>
    <cellStyle name="SHADEDSTORES 2 8 2 8" xfId="10683"/>
    <cellStyle name="SHADEDSTORES 2 8 3" xfId="10684"/>
    <cellStyle name="SHADEDSTORES 2 8 3 2" xfId="10685"/>
    <cellStyle name="SHADEDSTORES 2 8 3 3" xfId="10687"/>
    <cellStyle name="SHADEDSTORES 2 8 3 4" xfId="10689"/>
    <cellStyle name="SHADEDSTORES 2 8 3 5" xfId="10691"/>
    <cellStyle name="SHADEDSTORES 2 8 3 6" xfId="10693"/>
    <cellStyle name="SHADEDSTORES 2 8 3 7" xfId="10695"/>
    <cellStyle name="SHADEDSTORES 2 8 3 8" xfId="10696"/>
    <cellStyle name="SHADEDSTORES 2 8 4" xfId="10697"/>
    <cellStyle name="SHADEDSTORES 2 8 5" xfId="10698"/>
    <cellStyle name="SHADEDSTORES 2 8 6" xfId="10699"/>
    <cellStyle name="SHADEDSTORES 2 8 7" xfId="10700"/>
    <cellStyle name="SHADEDSTORES 2 8 8" xfId="10701"/>
    <cellStyle name="SHADEDSTORES 2 8 9" xfId="10702"/>
    <cellStyle name="SHADEDSTORES 2 9" xfId="10703"/>
    <cellStyle name="SHADEDSTORES 2 9 10" xfId="10705"/>
    <cellStyle name="SHADEDSTORES 2 9 2" xfId="10706"/>
    <cellStyle name="SHADEDSTORES 2 9 2 2" xfId="10709"/>
    <cellStyle name="SHADEDSTORES 2 9 2 3" xfId="10710"/>
    <cellStyle name="SHADEDSTORES 2 9 2 4" xfId="10711"/>
    <cellStyle name="SHADEDSTORES 2 9 2 5" xfId="10712"/>
    <cellStyle name="SHADEDSTORES 2 9 2 6" xfId="10713"/>
    <cellStyle name="SHADEDSTORES 2 9 2 7" xfId="10714"/>
    <cellStyle name="SHADEDSTORES 2 9 2 8" xfId="10715"/>
    <cellStyle name="SHADEDSTORES 2 9 3" xfId="10716"/>
    <cellStyle name="SHADEDSTORES 2 9 3 2" xfId="10717"/>
    <cellStyle name="SHADEDSTORES 2 9 3 3" xfId="10718"/>
    <cellStyle name="SHADEDSTORES 2 9 3 4" xfId="10719"/>
    <cellStyle name="SHADEDSTORES 2 9 3 5" xfId="10720"/>
    <cellStyle name="SHADEDSTORES 2 9 3 6" xfId="10721"/>
    <cellStyle name="SHADEDSTORES 2 9 3 7" xfId="10722"/>
    <cellStyle name="SHADEDSTORES 2 9 3 8" xfId="10723"/>
    <cellStyle name="SHADEDSTORES 2 9 4" xfId="10724"/>
    <cellStyle name="SHADEDSTORES 2 9 5" xfId="10725"/>
    <cellStyle name="SHADEDSTORES 2 9 6" xfId="10726"/>
    <cellStyle name="SHADEDSTORES 2 9 7" xfId="10727"/>
    <cellStyle name="SHADEDSTORES 2 9 8" xfId="10729"/>
    <cellStyle name="SHADEDSTORES 2 9 9" xfId="10731"/>
    <cellStyle name="SHADEDSTORES 20" xfId="10076"/>
    <cellStyle name="SHADEDSTORES 20 10" xfId="10078"/>
    <cellStyle name="SHADEDSTORES 20 2" xfId="10081"/>
    <cellStyle name="SHADEDSTORES 20 2 2" xfId="10083"/>
    <cellStyle name="SHADEDSTORES 20 2 3" xfId="10088"/>
    <cellStyle name="SHADEDSTORES 20 2 4" xfId="10093"/>
    <cellStyle name="SHADEDSTORES 20 2 5" xfId="10097"/>
    <cellStyle name="SHADEDSTORES 20 2 6" xfId="10099"/>
    <cellStyle name="SHADEDSTORES 20 2 7" xfId="10101"/>
    <cellStyle name="SHADEDSTORES 20 2 8" xfId="10103"/>
    <cellStyle name="SHADEDSTORES 20 3" xfId="10105"/>
    <cellStyle name="SHADEDSTORES 20 3 2" xfId="10107"/>
    <cellStyle name="SHADEDSTORES 20 3 3" xfId="10110"/>
    <cellStyle name="SHADEDSTORES 20 3 4" xfId="10113"/>
    <cellStyle name="SHADEDSTORES 20 3 5" xfId="10115"/>
    <cellStyle name="SHADEDSTORES 20 3 6" xfId="10117"/>
    <cellStyle name="SHADEDSTORES 20 3 7" xfId="10119"/>
    <cellStyle name="SHADEDSTORES 20 3 8" xfId="10121"/>
    <cellStyle name="SHADEDSTORES 20 4" xfId="10123"/>
    <cellStyle name="SHADEDSTORES 20 5" xfId="10125"/>
    <cellStyle name="SHADEDSTORES 20 6" xfId="10127"/>
    <cellStyle name="SHADEDSTORES 20 7" xfId="10129"/>
    <cellStyle name="SHADEDSTORES 20 8" xfId="10131"/>
    <cellStyle name="SHADEDSTORES 20 9" xfId="10133"/>
    <cellStyle name="SHADEDSTORES 21" xfId="10136"/>
    <cellStyle name="SHADEDSTORES 21 10" xfId="10138"/>
    <cellStyle name="SHADEDSTORES 21 2" xfId="10140"/>
    <cellStyle name="SHADEDSTORES 21 2 2" xfId="10142"/>
    <cellStyle name="SHADEDSTORES 21 2 3" xfId="10146"/>
    <cellStyle name="SHADEDSTORES 21 2 4" xfId="10150"/>
    <cellStyle name="SHADEDSTORES 21 2 5" xfId="10154"/>
    <cellStyle name="SHADEDSTORES 21 2 6" xfId="10156"/>
    <cellStyle name="SHADEDSTORES 21 2 7" xfId="10158"/>
    <cellStyle name="SHADEDSTORES 21 2 8" xfId="4272"/>
    <cellStyle name="SHADEDSTORES 21 3" xfId="10160"/>
    <cellStyle name="SHADEDSTORES 21 3 2" xfId="10162"/>
    <cellStyle name="SHADEDSTORES 21 3 3" xfId="10164"/>
    <cellStyle name="SHADEDSTORES 21 3 4" xfId="10166"/>
    <cellStyle name="SHADEDSTORES 21 3 5" xfId="10168"/>
    <cellStyle name="SHADEDSTORES 21 3 6" xfId="10170"/>
    <cellStyle name="SHADEDSTORES 21 3 7" xfId="10172"/>
    <cellStyle name="SHADEDSTORES 21 3 8" xfId="4282"/>
    <cellStyle name="SHADEDSTORES 21 4" xfId="10174"/>
    <cellStyle name="SHADEDSTORES 21 5" xfId="10176"/>
    <cellStyle name="SHADEDSTORES 21 6" xfId="10178"/>
    <cellStyle name="SHADEDSTORES 21 7" xfId="10180"/>
    <cellStyle name="SHADEDSTORES 21 8" xfId="10182"/>
    <cellStyle name="SHADEDSTORES 21 9" xfId="10184"/>
    <cellStyle name="SHADEDSTORES 22" xfId="10186"/>
    <cellStyle name="SHADEDSTORES 22 10" xfId="10188"/>
    <cellStyle name="SHADEDSTORES 22 2" xfId="10190"/>
    <cellStyle name="SHADEDSTORES 22 2 2" xfId="10192"/>
    <cellStyle name="SHADEDSTORES 22 2 3" xfId="10196"/>
    <cellStyle name="SHADEDSTORES 22 2 4" xfId="10200"/>
    <cellStyle name="SHADEDSTORES 22 2 5" xfId="10204"/>
    <cellStyle name="SHADEDSTORES 22 2 6" xfId="10206"/>
    <cellStyle name="SHADEDSTORES 22 2 7" xfId="10208"/>
    <cellStyle name="SHADEDSTORES 22 2 8" xfId="726"/>
    <cellStyle name="SHADEDSTORES 22 3" xfId="10210"/>
    <cellStyle name="SHADEDSTORES 22 3 2" xfId="10212"/>
    <cellStyle name="SHADEDSTORES 22 3 3" xfId="10214"/>
    <cellStyle name="SHADEDSTORES 22 3 4" xfId="10216"/>
    <cellStyle name="SHADEDSTORES 22 3 5" xfId="10218"/>
    <cellStyle name="SHADEDSTORES 22 3 6" xfId="10220"/>
    <cellStyle name="SHADEDSTORES 22 3 7" xfId="10222"/>
    <cellStyle name="SHADEDSTORES 22 3 8" xfId="4354"/>
    <cellStyle name="SHADEDSTORES 22 4" xfId="10224"/>
    <cellStyle name="SHADEDSTORES 22 5" xfId="10226"/>
    <cellStyle name="SHADEDSTORES 22 6" xfId="10228"/>
    <cellStyle name="SHADEDSTORES 22 7" xfId="10231"/>
    <cellStyle name="SHADEDSTORES 22 8" xfId="10233"/>
    <cellStyle name="SHADEDSTORES 22 9" xfId="10235"/>
    <cellStyle name="SHADEDSTORES 23" xfId="10237"/>
    <cellStyle name="SHADEDSTORES 23 10" xfId="10239"/>
    <cellStyle name="SHADEDSTORES 23 2" xfId="10241"/>
    <cellStyle name="SHADEDSTORES 23 2 2" xfId="3480"/>
    <cellStyle name="SHADEDSTORES 23 2 3" xfId="10244"/>
    <cellStyle name="SHADEDSTORES 23 2 4" xfId="10251"/>
    <cellStyle name="SHADEDSTORES 23 2 5" xfId="10258"/>
    <cellStyle name="SHADEDSTORES 23 2 6" xfId="10263"/>
    <cellStyle name="SHADEDSTORES 23 2 7" xfId="10268"/>
    <cellStyle name="SHADEDSTORES 23 2 8" xfId="10273"/>
    <cellStyle name="SHADEDSTORES 23 3" xfId="10280"/>
    <cellStyle name="SHADEDSTORES 23 3 2" xfId="7604"/>
    <cellStyle name="SHADEDSTORES 23 3 3" xfId="10283"/>
    <cellStyle name="SHADEDSTORES 23 3 4" xfId="10287"/>
    <cellStyle name="SHADEDSTORES 23 3 5" xfId="10291"/>
    <cellStyle name="SHADEDSTORES 23 3 6" xfId="10295"/>
    <cellStyle name="SHADEDSTORES 23 3 7" xfId="10299"/>
    <cellStyle name="SHADEDSTORES 23 3 8" xfId="10303"/>
    <cellStyle name="SHADEDSTORES 23 4" xfId="10309"/>
    <cellStyle name="SHADEDSTORES 23 5" xfId="10312"/>
    <cellStyle name="SHADEDSTORES 23 6" xfId="10315"/>
    <cellStyle name="SHADEDSTORES 23 7" xfId="10318"/>
    <cellStyle name="SHADEDSTORES 23 8" xfId="10321"/>
    <cellStyle name="SHADEDSTORES 23 9" xfId="10324"/>
    <cellStyle name="SHADEDSTORES 24" xfId="10326"/>
    <cellStyle name="SHADEDSTORES 24 10" xfId="10328"/>
    <cellStyle name="SHADEDSTORES 24 2" xfId="10330"/>
    <cellStyle name="SHADEDSTORES 24 2 2" xfId="7771"/>
    <cellStyle name="SHADEDSTORES 24 2 3" xfId="10333"/>
    <cellStyle name="SHADEDSTORES 24 2 4" xfId="10338"/>
    <cellStyle name="SHADEDSTORES 24 2 5" xfId="10343"/>
    <cellStyle name="SHADEDSTORES 24 2 6" xfId="10346"/>
    <cellStyle name="SHADEDSTORES 24 2 7" xfId="10349"/>
    <cellStyle name="SHADEDSTORES 24 2 8" xfId="10352"/>
    <cellStyle name="SHADEDSTORES 24 3" xfId="10355"/>
    <cellStyle name="SHADEDSTORES 24 3 2" xfId="7785"/>
    <cellStyle name="SHADEDSTORES 24 3 3" xfId="10358"/>
    <cellStyle name="SHADEDSTORES 24 3 4" xfId="10361"/>
    <cellStyle name="SHADEDSTORES 24 3 5" xfId="10363"/>
    <cellStyle name="SHADEDSTORES 24 3 6" xfId="10365"/>
    <cellStyle name="SHADEDSTORES 24 3 7" xfId="10367"/>
    <cellStyle name="SHADEDSTORES 24 3 8" xfId="10369"/>
    <cellStyle name="SHADEDSTORES 24 4" xfId="10371"/>
    <cellStyle name="SHADEDSTORES 24 5" xfId="10374"/>
    <cellStyle name="SHADEDSTORES 24 6" xfId="10377"/>
    <cellStyle name="SHADEDSTORES 24 7" xfId="10380"/>
    <cellStyle name="SHADEDSTORES 24 8" xfId="10383"/>
    <cellStyle name="SHADEDSTORES 24 9" xfId="10386"/>
    <cellStyle name="SHADEDSTORES 25" xfId="3283"/>
    <cellStyle name="SHADEDSTORES 25 10" xfId="10733"/>
    <cellStyle name="SHADEDSTORES 25 2" xfId="10735"/>
    <cellStyle name="SHADEDSTORES 25 2 2" xfId="10738"/>
    <cellStyle name="SHADEDSTORES 25 2 3" xfId="10742"/>
    <cellStyle name="SHADEDSTORES 25 2 4" xfId="10746"/>
    <cellStyle name="SHADEDSTORES 25 2 5" xfId="10750"/>
    <cellStyle name="SHADEDSTORES 25 2 6" xfId="10752"/>
    <cellStyle name="SHADEDSTORES 25 2 7" xfId="10754"/>
    <cellStyle name="SHADEDSTORES 25 2 8" xfId="10756"/>
    <cellStyle name="SHADEDSTORES 25 3" xfId="10758"/>
    <cellStyle name="SHADEDSTORES 25 3 2" xfId="10761"/>
    <cellStyle name="SHADEDSTORES 25 3 3" xfId="10763"/>
    <cellStyle name="SHADEDSTORES 25 3 4" xfId="10765"/>
    <cellStyle name="SHADEDSTORES 25 3 5" xfId="10766"/>
    <cellStyle name="SHADEDSTORES 25 3 6" xfId="10767"/>
    <cellStyle name="SHADEDSTORES 25 3 7" xfId="10768"/>
    <cellStyle name="SHADEDSTORES 25 3 8" xfId="10769"/>
    <cellStyle name="SHADEDSTORES 25 4" xfId="10770"/>
    <cellStyle name="SHADEDSTORES 25 5" xfId="10773"/>
    <cellStyle name="SHADEDSTORES 25 6" xfId="10776"/>
    <cellStyle name="SHADEDSTORES 25 7" xfId="10779"/>
    <cellStyle name="SHADEDSTORES 25 8" xfId="10782"/>
    <cellStyle name="SHADEDSTORES 25 9" xfId="10785"/>
    <cellStyle name="SHADEDSTORES 26" xfId="3291"/>
    <cellStyle name="SHADEDSTORES 26 10" xfId="5409"/>
    <cellStyle name="SHADEDSTORES 26 2" xfId="10787"/>
    <cellStyle name="SHADEDSTORES 26 2 2" xfId="10792"/>
    <cellStyle name="SHADEDSTORES 26 2 3" xfId="10796"/>
    <cellStyle name="SHADEDSTORES 26 2 4" xfId="10800"/>
    <cellStyle name="SHADEDSTORES 26 2 5" xfId="10804"/>
    <cellStyle name="SHADEDSTORES 26 2 6" xfId="10806"/>
    <cellStyle name="SHADEDSTORES 26 2 7" xfId="10808"/>
    <cellStyle name="SHADEDSTORES 26 2 8" xfId="10810"/>
    <cellStyle name="SHADEDSTORES 26 3" xfId="10812"/>
    <cellStyle name="SHADEDSTORES 26 3 2" xfId="10817"/>
    <cellStyle name="SHADEDSTORES 26 3 3" xfId="10819"/>
    <cellStyle name="SHADEDSTORES 26 3 4" xfId="10821"/>
    <cellStyle name="SHADEDSTORES 26 3 5" xfId="10822"/>
    <cellStyle name="SHADEDSTORES 26 3 6" xfId="10824"/>
    <cellStyle name="SHADEDSTORES 26 3 7" xfId="10825"/>
    <cellStyle name="SHADEDSTORES 26 3 8" xfId="10826"/>
    <cellStyle name="SHADEDSTORES 26 4" xfId="10827"/>
    <cellStyle name="SHADEDSTORES 26 5" xfId="10832"/>
    <cellStyle name="SHADEDSTORES 26 6" xfId="10835"/>
    <cellStyle name="SHADEDSTORES 26 7" xfId="10838"/>
    <cellStyle name="SHADEDSTORES 26 8" xfId="10841"/>
    <cellStyle name="SHADEDSTORES 26 9" xfId="10844"/>
    <cellStyle name="SHADEDSTORES 27" xfId="10845"/>
    <cellStyle name="SHADEDSTORES 27 10" xfId="10847"/>
    <cellStyle name="SHADEDSTORES 27 2" xfId="10850"/>
    <cellStyle name="SHADEDSTORES 27 2 2" xfId="10854"/>
    <cellStyle name="SHADEDSTORES 27 2 3" xfId="10860"/>
    <cellStyle name="SHADEDSTORES 27 2 4" xfId="10864"/>
    <cellStyle name="SHADEDSTORES 27 2 5" xfId="10868"/>
    <cellStyle name="SHADEDSTORES 27 2 6" xfId="10870"/>
    <cellStyle name="SHADEDSTORES 27 2 7" xfId="10872"/>
    <cellStyle name="SHADEDSTORES 27 2 8" xfId="10874"/>
    <cellStyle name="SHADEDSTORES 27 3" xfId="10876"/>
    <cellStyle name="SHADEDSTORES 27 3 2" xfId="10880"/>
    <cellStyle name="SHADEDSTORES 27 3 3" xfId="10884"/>
    <cellStyle name="SHADEDSTORES 27 3 4" xfId="10887"/>
    <cellStyle name="SHADEDSTORES 27 3 5" xfId="10888"/>
    <cellStyle name="SHADEDSTORES 27 3 6" xfId="10891"/>
    <cellStyle name="SHADEDSTORES 27 3 7" xfId="10892"/>
    <cellStyle name="SHADEDSTORES 27 3 8" xfId="10893"/>
    <cellStyle name="SHADEDSTORES 27 4" xfId="10894"/>
    <cellStyle name="SHADEDSTORES 27 5" xfId="10898"/>
    <cellStyle name="SHADEDSTORES 27 6" xfId="10900"/>
    <cellStyle name="SHADEDSTORES 27 7" xfId="10902"/>
    <cellStyle name="SHADEDSTORES 27 8" xfId="10904"/>
    <cellStyle name="SHADEDSTORES 27 9" xfId="10906"/>
    <cellStyle name="SHADEDSTORES 28" xfId="10907"/>
    <cellStyle name="SHADEDSTORES 28 10" xfId="10911"/>
    <cellStyle name="SHADEDSTORES 28 2" xfId="10914"/>
    <cellStyle name="SHADEDSTORES 28 2 2" xfId="10917"/>
    <cellStyle name="SHADEDSTORES 28 2 3" xfId="10923"/>
    <cellStyle name="SHADEDSTORES 28 2 4" xfId="8831"/>
    <cellStyle name="SHADEDSTORES 28 2 5" xfId="8839"/>
    <cellStyle name="SHADEDSTORES 28 2 6" xfId="8843"/>
    <cellStyle name="SHADEDSTORES 28 2 7" xfId="8847"/>
    <cellStyle name="SHADEDSTORES 28 2 8" xfId="7585"/>
    <cellStyle name="SHADEDSTORES 28 3" xfId="10928"/>
    <cellStyle name="SHADEDSTORES 28 3 2" xfId="10931"/>
    <cellStyle name="SHADEDSTORES 28 3 3" xfId="10933"/>
    <cellStyle name="SHADEDSTORES 28 3 4" xfId="10935"/>
    <cellStyle name="SHADEDSTORES 28 3 5" xfId="10936"/>
    <cellStyle name="SHADEDSTORES 28 3 6" xfId="10939"/>
    <cellStyle name="SHADEDSTORES 28 3 7" xfId="10940"/>
    <cellStyle name="SHADEDSTORES 28 3 8" xfId="7590"/>
    <cellStyle name="SHADEDSTORES 28 4" xfId="10941"/>
    <cellStyle name="SHADEDSTORES 28 5" xfId="10944"/>
    <cellStyle name="SHADEDSTORES 28 6" xfId="10947"/>
    <cellStyle name="SHADEDSTORES 28 7" xfId="10950"/>
    <cellStyle name="SHADEDSTORES 28 8" xfId="10953"/>
    <cellStyle name="SHADEDSTORES 28 9" xfId="10956"/>
    <cellStyle name="SHADEDSTORES 29" xfId="10957"/>
    <cellStyle name="SHADEDSTORES 29 10" xfId="10961"/>
    <cellStyle name="SHADEDSTORES 29 2" xfId="10964"/>
    <cellStyle name="SHADEDSTORES 29 2 2" xfId="10967"/>
    <cellStyle name="SHADEDSTORES 29 2 3" xfId="10972"/>
    <cellStyle name="SHADEDSTORES 29 2 4" xfId="10977"/>
    <cellStyle name="SHADEDSTORES 29 2 5" xfId="10982"/>
    <cellStyle name="SHADEDSTORES 29 2 6" xfId="4848"/>
    <cellStyle name="SHADEDSTORES 29 2 7" xfId="10985"/>
    <cellStyle name="SHADEDSTORES 29 2 8" xfId="7986"/>
    <cellStyle name="SHADEDSTORES 29 3" xfId="10988"/>
    <cellStyle name="SHADEDSTORES 29 3 2" xfId="918"/>
    <cellStyle name="SHADEDSTORES 29 3 3" xfId="808"/>
    <cellStyle name="SHADEDSTORES 29 3 4" xfId="921"/>
    <cellStyle name="SHADEDSTORES 29 3 5" xfId="927"/>
    <cellStyle name="SHADEDSTORES 29 3 6" xfId="10991"/>
    <cellStyle name="SHADEDSTORES 29 3 7" xfId="10992"/>
    <cellStyle name="SHADEDSTORES 29 3 8" xfId="7995"/>
    <cellStyle name="SHADEDSTORES 29 4" xfId="10993"/>
    <cellStyle name="SHADEDSTORES 29 5" xfId="10996"/>
    <cellStyle name="SHADEDSTORES 29 6" xfId="10999"/>
    <cellStyle name="SHADEDSTORES 29 7" xfId="4834"/>
    <cellStyle name="SHADEDSTORES 29 8" xfId="4839"/>
    <cellStyle name="SHADEDSTORES 29 9" xfId="11002"/>
    <cellStyle name="SHADEDSTORES 3" xfId="11003"/>
    <cellStyle name="SHADEDSTORES 3 10" xfId="11004"/>
    <cellStyle name="SHADEDSTORES 3 10 10" xfId="11005"/>
    <cellStyle name="SHADEDSTORES 3 10 2" xfId="11006"/>
    <cellStyle name="SHADEDSTORES 3 10 2 2" xfId="11010"/>
    <cellStyle name="SHADEDSTORES 3 10 2 3" xfId="11012"/>
    <cellStyle name="SHADEDSTORES 3 10 2 4" xfId="11015"/>
    <cellStyle name="SHADEDSTORES 3 10 2 5" xfId="11018"/>
    <cellStyle name="SHADEDSTORES 3 10 2 6" xfId="11021"/>
    <cellStyle name="SHADEDSTORES 3 10 2 7" xfId="11024"/>
    <cellStyle name="SHADEDSTORES 3 10 2 8" xfId="11027"/>
    <cellStyle name="SHADEDSTORES 3 10 3" xfId="11030"/>
    <cellStyle name="SHADEDSTORES 3 10 3 2" xfId="11033"/>
    <cellStyle name="SHADEDSTORES 3 10 3 3" xfId="11034"/>
    <cellStyle name="SHADEDSTORES 3 10 3 4" xfId="11035"/>
    <cellStyle name="SHADEDSTORES 3 10 3 5" xfId="11036"/>
    <cellStyle name="SHADEDSTORES 3 10 3 6" xfId="11037"/>
    <cellStyle name="SHADEDSTORES 3 10 3 7" xfId="11038"/>
    <cellStyle name="SHADEDSTORES 3 10 3 8" xfId="11039"/>
    <cellStyle name="SHADEDSTORES 3 10 4" xfId="11040"/>
    <cellStyle name="SHADEDSTORES 3 10 5" xfId="11041"/>
    <cellStyle name="SHADEDSTORES 3 10 6" xfId="11042"/>
    <cellStyle name="SHADEDSTORES 3 10 7" xfId="11043"/>
    <cellStyle name="SHADEDSTORES 3 10 8" xfId="11044"/>
    <cellStyle name="SHADEDSTORES 3 10 9" xfId="1211"/>
    <cellStyle name="SHADEDSTORES 3 11" xfId="11045"/>
    <cellStyle name="SHADEDSTORES 3 11 2" xfId="11046"/>
    <cellStyle name="SHADEDSTORES 3 11 3" xfId="11048"/>
    <cellStyle name="SHADEDSTORES 3 11 4" xfId="11050"/>
    <cellStyle name="SHADEDSTORES 3 11 5" xfId="11052"/>
    <cellStyle name="SHADEDSTORES 3 11 6" xfId="11054"/>
    <cellStyle name="SHADEDSTORES 3 11 7" xfId="11056"/>
    <cellStyle name="SHADEDSTORES 3 11 8" xfId="11058"/>
    <cellStyle name="SHADEDSTORES 3 12" xfId="11060"/>
    <cellStyle name="SHADEDSTORES 3 12 2" xfId="9816"/>
    <cellStyle name="SHADEDSTORES 3 12 3" xfId="9818"/>
    <cellStyle name="SHADEDSTORES 3 12 4" xfId="9822"/>
    <cellStyle name="SHADEDSTORES 3 12 5" xfId="5741"/>
    <cellStyle name="SHADEDSTORES 3 12 6" xfId="11061"/>
    <cellStyle name="SHADEDSTORES 3 12 7" xfId="11064"/>
    <cellStyle name="SHADEDSTORES 3 12 8" xfId="11067"/>
    <cellStyle name="SHADEDSTORES 3 13" xfId="11047"/>
    <cellStyle name="SHADEDSTORES 3 14" xfId="11049"/>
    <cellStyle name="SHADEDSTORES 3 15" xfId="11051"/>
    <cellStyle name="SHADEDSTORES 3 16" xfId="11053"/>
    <cellStyle name="SHADEDSTORES 3 17" xfId="11055"/>
    <cellStyle name="SHADEDSTORES 3 18" xfId="11057"/>
    <cellStyle name="SHADEDSTORES 3 19" xfId="11059"/>
    <cellStyle name="SHADEDSTORES 3 2" xfId="7382"/>
    <cellStyle name="SHADEDSTORES 3 2 10" xfId="11070"/>
    <cellStyle name="SHADEDSTORES 3 2 2" xfId="11071"/>
    <cellStyle name="SHADEDSTORES 3 2 2 2" xfId="11075"/>
    <cellStyle name="SHADEDSTORES 3 2 2 3" xfId="11076"/>
    <cellStyle name="SHADEDSTORES 3 2 2 4" xfId="11077"/>
    <cellStyle name="SHADEDSTORES 3 2 2 5" xfId="11078"/>
    <cellStyle name="SHADEDSTORES 3 2 2 6" xfId="11079"/>
    <cellStyle name="SHADEDSTORES 3 2 2 7" xfId="11080"/>
    <cellStyle name="SHADEDSTORES 3 2 2 8" xfId="11081"/>
    <cellStyle name="SHADEDSTORES 3 2 3" xfId="4431"/>
    <cellStyle name="SHADEDSTORES 3 2 3 2" xfId="11082"/>
    <cellStyle name="SHADEDSTORES 3 2 3 3" xfId="11083"/>
    <cellStyle name="SHADEDSTORES 3 2 3 4" xfId="11084"/>
    <cellStyle name="SHADEDSTORES 3 2 3 5" xfId="11085"/>
    <cellStyle name="SHADEDSTORES 3 2 3 6" xfId="11086"/>
    <cellStyle name="SHADEDSTORES 3 2 3 7" xfId="11087"/>
    <cellStyle name="SHADEDSTORES 3 2 3 8" xfId="11088"/>
    <cellStyle name="SHADEDSTORES 3 2 4" xfId="4438"/>
    <cellStyle name="SHADEDSTORES 3 2 5" xfId="11089"/>
    <cellStyle name="SHADEDSTORES 3 2 6" xfId="11091"/>
    <cellStyle name="SHADEDSTORES 3 2 7" xfId="11092"/>
    <cellStyle name="SHADEDSTORES 3 2 8" xfId="11093"/>
    <cellStyle name="SHADEDSTORES 3 2 9" xfId="11094"/>
    <cellStyle name="SHADEDSTORES 3 3" xfId="11095"/>
    <cellStyle name="SHADEDSTORES 3 3 10" xfId="9256"/>
    <cellStyle name="SHADEDSTORES 3 3 2" xfId="11096"/>
    <cellStyle name="SHADEDSTORES 3 3 2 2" xfId="10728"/>
    <cellStyle name="SHADEDSTORES 3 3 2 3" xfId="10730"/>
    <cellStyle name="SHADEDSTORES 3 3 2 4" xfId="10732"/>
    <cellStyle name="SHADEDSTORES 3 3 2 5" xfId="11099"/>
    <cellStyle name="SHADEDSTORES 3 3 2 6" xfId="11100"/>
    <cellStyle name="SHADEDSTORES 3 3 2 7" xfId="11101"/>
    <cellStyle name="SHADEDSTORES 3 3 2 8" xfId="11102"/>
    <cellStyle name="SHADEDSTORES 3 3 3" xfId="11103"/>
    <cellStyle name="SHADEDSTORES 3 3 3 2" xfId="11106"/>
    <cellStyle name="SHADEDSTORES 3 3 3 3" xfId="11107"/>
    <cellStyle name="SHADEDSTORES 3 3 3 4" xfId="11108"/>
    <cellStyle name="SHADEDSTORES 3 3 3 5" xfId="11109"/>
    <cellStyle name="SHADEDSTORES 3 3 3 6" xfId="11110"/>
    <cellStyle name="SHADEDSTORES 3 3 3 7" xfId="11111"/>
    <cellStyle name="SHADEDSTORES 3 3 3 8" xfId="11112"/>
    <cellStyle name="SHADEDSTORES 3 3 4" xfId="11113"/>
    <cellStyle name="SHADEDSTORES 3 3 5" xfId="11116"/>
    <cellStyle name="SHADEDSTORES 3 3 6" xfId="336"/>
    <cellStyle name="SHADEDSTORES 3 3 7" xfId="350"/>
    <cellStyle name="SHADEDSTORES 3 3 8" xfId="11117"/>
    <cellStyle name="SHADEDSTORES 3 3 9" xfId="11118"/>
    <cellStyle name="SHADEDSTORES 3 4" xfId="11119"/>
    <cellStyle name="SHADEDSTORES 3 4 10" xfId="11121"/>
    <cellStyle name="SHADEDSTORES 3 4 2" xfId="11122"/>
    <cellStyle name="SHADEDSTORES 3 4 2 2" xfId="494"/>
    <cellStyle name="SHADEDSTORES 3 4 2 3" xfId="11125"/>
    <cellStyle name="SHADEDSTORES 3 4 2 4" xfId="11127"/>
    <cellStyle name="SHADEDSTORES 3 4 2 5" xfId="11129"/>
    <cellStyle name="SHADEDSTORES 3 4 2 6" xfId="11130"/>
    <cellStyle name="SHADEDSTORES 3 4 2 7" xfId="9839"/>
    <cellStyle name="SHADEDSTORES 3 4 2 8" xfId="9841"/>
    <cellStyle name="SHADEDSTORES 3 4 3" xfId="11131"/>
    <cellStyle name="SHADEDSTORES 3 4 3 2" xfId="522"/>
    <cellStyle name="SHADEDSTORES 3 4 3 3" xfId="11132"/>
    <cellStyle name="SHADEDSTORES 3 4 3 4" xfId="11133"/>
    <cellStyle name="SHADEDSTORES 3 4 3 5" xfId="11134"/>
    <cellStyle name="SHADEDSTORES 3 4 3 6" xfId="11135"/>
    <cellStyle name="SHADEDSTORES 3 4 3 7" xfId="9844"/>
    <cellStyle name="SHADEDSTORES 3 4 3 8" xfId="9846"/>
    <cellStyle name="SHADEDSTORES 3 4 4" xfId="11136"/>
    <cellStyle name="SHADEDSTORES 3 4 5" xfId="11137"/>
    <cellStyle name="SHADEDSTORES 3 4 6" xfId="70"/>
    <cellStyle name="SHADEDSTORES 3 4 7" xfId="45"/>
    <cellStyle name="SHADEDSTORES 3 4 8" xfId="11138"/>
    <cellStyle name="SHADEDSTORES 3 4 9" xfId="11139"/>
    <cellStyle name="SHADEDSTORES 3 5" xfId="11140"/>
    <cellStyle name="SHADEDSTORES 3 5 10" xfId="11142"/>
    <cellStyle name="SHADEDSTORES 3 5 2" xfId="11143"/>
    <cellStyle name="SHADEDSTORES 3 5 2 2" xfId="664"/>
    <cellStyle name="SHADEDSTORES 3 5 2 3" xfId="11146"/>
    <cellStyle name="SHADEDSTORES 3 5 2 4" xfId="11148"/>
    <cellStyle name="SHADEDSTORES 3 5 2 5" xfId="11149"/>
    <cellStyle name="SHADEDSTORES 3 5 2 6" xfId="11150"/>
    <cellStyle name="SHADEDSTORES 3 5 2 7" xfId="11151"/>
    <cellStyle name="SHADEDSTORES 3 5 2 8" xfId="11152"/>
    <cellStyle name="SHADEDSTORES 3 5 3" xfId="11153"/>
    <cellStyle name="SHADEDSTORES 3 5 3 2" xfId="679"/>
    <cellStyle name="SHADEDSTORES 3 5 3 3" xfId="11154"/>
    <cellStyle name="SHADEDSTORES 3 5 3 4" xfId="11156"/>
    <cellStyle name="SHADEDSTORES 3 5 3 5" xfId="9739"/>
    <cellStyle name="SHADEDSTORES 3 5 3 6" xfId="9741"/>
    <cellStyle name="SHADEDSTORES 3 5 3 7" xfId="9743"/>
    <cellStyle name="SHADEDSTORES 3 5 3 8" xfId="9745"/>
    <cellStyle name="SHADEDSTORES 3 5 4" xfId="11157"/>
    <cellStyle name="SHADEDSTORES 3 5 5" xfId="11158"/>
    <cellStyle name="SHADEDSTORES 3 5 6" xfId="375"/>
    <cellStyle name="SHADEDSTORES 3 5 7" xfId="377"/>
    <cellStyle name="SHADEDSTORES 3 5 8" xfId="11159"/>
    <cellStyle name="SHADEDSTORES 3 5 9" xfId="11160"/>
    <cellStyle name="SHADEDSTORES 3 6" xfId="11161"/>
    <cellStyle name="SHADEDSTORES 3 6 10" xfId="11163"/>
    <cellStyle name="SHADEDSTORES 3 6 2" xfId="11164"/>
    <cellStyle name="SHADEDSTORES 3 6 2 2" xfId="11165"/>
    <cellStyle name="SHADEDSTORES 3 6 2 3" xfId="11166"/>
    <cellStyle name="SHADEDSTORES 3 6 2 4" xfId="11167"/>
    <cellStyle name="SHADEDSTORES 3 6 2 5" xfId="11168"/>
    <cellStyle name="SHADEDSTORES 3 6 2 6" xfId="11169"/>
    <cellStyle name="SHADEDSTORES 3 6 2 7" xfId="11170"/>
    <cellStyle name="SHADEDSTORES 3 6 2 8" xfId="11171"/>
    <cellStyle name="SHADEDSTORES 3 6 3" xfId="11172"/>
    <cellStyle name="SHADEDSTORES 3 6 3 2" xfId="11173"/>
    <cellStyle name="SHADEDSTORES 3 6 3 3" xfId="11174"/>
    <cellStyle name="SHADEDSTORES 3 6 3 4" xfId="11175"/>
    <cellStyle name="SHADEDSTORES 3 6 3 5" xfId="11176"/>
    <cellStyle name="SHADEDSTORES 3 6 3 6" xfId="11177"/>
    <cellStyle name="SHADEDSTORES 3 6 3 7" xfId="11178"/>
    <cellStyle name="SHADEDSTORES 3 6 3 8" xfId="11179"/>
    <cellStyle name="SHADEDSTORES 3 6 4" xfId="11180"/>
    <cellStyle name="SHADEDSTORES 3 6 5" xfId="11181"/>
    <cellStyle name="SHADEDSTORES 3 6 6" xfId="382"/>
    <cellStyle name="SHADEDSTORES 3 6 7" xfId="386"/>
    <cellStyle name="SHADEDSTORES 3 6 8" xfId="11182"/>
    <cellStyle name="SHADEDSTORES 3 6 9" xfId="11183"/>
    <cellStyle name="SHADEDSTORES 3 7" xfId="11184"/>
    <cellStyle name="SHADEDSTORES 3 7 10" xfId="4209"/>
    <cellStyle name="SHADEDSTORES 3 7 2" xfId="11186"/>
    <cellStyle name="SHADEDSTORES 3 7 2 2" xfId="11187"/>
    <cellStyle name="SHADEDSTORES 3 7 2 3" xfId="11190"/>
    <cellStyle name="SHADEDSTORES 3 7 2 4" xfId="6385"/>
    <cellStyle name="SHADEDSTORES 3 7 2 5" xfId="6390"/>
    <cellStyle name="SHADEDSTORES 3 7 2 6" xfId="6394"/>
    <cellStyle name="SHADEDSTORES 3 7 2 7" xfId="5879"/>
    <cellStyle name="SHADEDSTORES 3 7 2 8" xfId="6398"/>
    <cellStyle name="SHADEDSTORES 3 7 3" xfId="11193"/>
    <cellStyle name="SHADEDSTORES 3 7 3 2" xfId="11194"/>
    <cellStyle name="SHADEDSTORES 3 7 3 3" xfId="11197"/>
    <cellStyle name="SHADEDSTORES 3 7 3 4" xfId="11200"/>
    <cellStyle name="SHADEDSTORES 3 7 3 5" xfId="11203"/>
    <cellStyle name="SHADEDSTORES 3 7 3 6" xfId="11206"/>
    <cellStyle name="SHADEDSTORES 3 7 3 7" xfId="11209"/>
    <cellStyle name="SHADEDSTORES 3 7 3 8" xfId="11212"/>
    <cellStyle name="SHADEDSTORES 3 7 4" xfId="11215"/>
    <cellStyle name="SHADEDSTORES 3 7 5" xfId="11216"/>
    <cellStyle name="SHADEDSTORES 3 7 6" xfId="388"/>
    <cellStyle name="SHADEDSTORES 3 7 7" xfId="401"/>
    <cellStyle name="SHADEDSTORES 3 7 8" xfId="11217"/>
    <cellStyle name="SHADEDSTORES 3 7 9" xfId="11219"/>
    <cellStyle name="SHADEDSTORES 3 8" xfId="11221"/>
    <cellStyle name="SHADEDSTORES 3 8 10" xfId="11223"/>
    <cellStyle name="SHADEDSTORES 3 8 2" xfId="11224"/>
    <cellStyle name="SHADEDSTORES 3 8 2 2" xfId="11225"/>
    <cellStyle name="SHADEDSTORES 3 8 2 3" xfId="11226"/>
    <cellStyle name="SHADEDSTORES 3 8 2 4" xfId="11227"/>
    <cellStyle name="SHADEDSTORES 3 8 2 5" xfId="11228"/>
    <cellStyle name="SHADEDSTORES 3 8 2 6" xfId="11229"/>
    <cellStyle name="SHADEDSTORES 3 8 2 7" xfId="11230"/>
    <cellStyle name="SHADEDSTORES 3 8 2 8" xfId="11231"/>
    <cellStyle name="SHADEDSTORES 3 8 3" xfId="11232"/>
    <cellStyle name="SHADEDSTORES 3 8 3 2" xfId="11233"/>
    <cellStyle name="SHADEDSTORES 3 8 3 3" xfId="11234"/>
    <cellStyle name="SHADEDSTORES 3 8 3 4" xfId="11235"/>
    <cellStyle name="SHADEDSTORES 3 8 3 5" xfId="11236"/>
    <cellStyle name="SHADEDSTORES 3 8 3 6" xfId="11237"/>
    <cellStyle name="SHADEDSTORES 3 8 3 7" xfId="11238"/>
    <cellStyle name="SHADEDSTORES 3 8 3 8" xfId="11239"/>
    <cellStyle name="SHADEDSTORES 3 8 4" xfId="11240"/>
    <cellStyle name="SHADEDSTORES 3 8 5" xfId="11241"/>
    <cellStyle name="SHADEDSTORES 3 8 6" xfId="416"/>
    <cellStyle name="SHADEDSTORES 3 8 7" xfId="430"/>
    <cellStyle name="SHADEDSTORES 3 8 8" xfId="11242"/>
    <cellStyle name="SHADEDSTORES 3 8 9" xfId="3913"/>
    <cellStyle name="SHADEDSTORES 3 9" xfId="11244"/>
    <cellStyle name="SHADEDSTORES 3 9 10" xfId="11246"/>
    <cellStyle name="SHADEDSTORES 3 9 2" xfId="11247"/>
    <cellStyle name="SHADEDSTORES 3 9 2 2" xfId="11250"/>
    <cellStyle name="SHADEDSTORES 3 9 2 3" xfId="11251"/>
    <cellStyle name="SHADEDSTORES 3 9 2 4" xfId="11252"/>
    <cellStyle name="SHADEDSTORES 3 9 2 5" xfId="11253"/>
    <cellStyle name="SHADEDSTORES 3 9 2 6" xfId="11254"/>
    <cellStyle name="SHADEDSTORES 3 9 2 7" xfId="11256"/>
    <cellStyle name="SHADEDSTORES 3 9 2 8" xfId="11257"/>
    <cellStyle name="SHADEDSTORES 3 9 3" xfId="11258"/>
    <cellStyle name="SHADEDSTORES 3 9 3 2" xfId="11259"/>
    <cellStyle name="SHADEDSTORES 3 9 3 3" xfId="11260"/>
    <cellStyle name="SHADEDSTORES 3 9 3 4" xfId="11261"/>
    <cellStyle name="SHADEDSTORES 3 9 3 5" xfId="11262"/>
    <cellStyle name="SHADEDSTORES 3 9 3 6" xfId="11263"/>
    <cellStyle name="SHADEDSTORES 3 9 3 7" xfId="11264"/>
    <cellStyle name="SHADEDSTORES 3 9 3 8" xfId="11265"/>
    <cellStyle name="SHADEDSTORES 3 9 4" xfId="11266"/>
    <cellStyle name="SHADEDSTORES 3 9 5" xfId="11267"/>
    <cellStyle name="SHADEDSTORES 3 9 6" xfId="473"/>
    <cellStyle name="SHADEDSTORES 3 9 7" xfId="493"/>
    <cellStyle name="SHADEDSTORES 3 9 8" xfId="11126"/>
    <cellStyle name="SHADEDSTORES 3 9 9" xfId="11128"/>
    <cellStyle name="SHADEDSTORES 30" xfId="3282"/>
    <cellStyle name="SHADEDSTORES 30 2" xfId="10736"/>
    <cellStyle name="SHADEDSTORES 30 3" xfId="10759"/>
    <cellStyle name="SHADEDSTORES 30 4" xfId="10771"/>
    <cellStyle name="SHADEDSTORES 30 5" xfId="10774"/>
    <cellStyle name="SHADEDSTORES 30 6" xfId="10777"/>
    <cellStyle name="SHADEDSTORES 30 7" xfId="10780"/>
    <cellStyle name="SHADEDSTORES 30 8" xfId="10783"/>
    <cellStyle name="SHADEDSTORES 31" xfId="3290"/>
    <cellStyle name="SHADEDSTORES 31 2" xfId="10788"/>
    <cellStyle name="SHADEDSTORES 31 3" xfId="10813"/>
    <cellStyle name="SHADEDSTORES 31 4" xfId="10828"/>
    <cellStyle name="SHADEDSTORES 31 5" xfId="10833"/>
    <cellStyle name="SHADEDSTORES 31 6" xfId="10836"/>
    <cellStyle name="SHADEDSTORES 31 7" xfId="10839"/>
    <cellStyle name="SHADEDSTORES 31 8" xfId="10842"/>
    <cellStyle name="SHADEDSTORES 32" xfId="10846"/>
    <cellStyle name="SHADEDSTORES 33" xfId="10908"/>
    <cellStyle name="SHADEDSTORES 34" xfId="10958"/>
    <cellStyle name="SHADEDSTORES 35" xfId="11268"/>
    <cellStyle name="SHADEDSTORES 36" xfId="11271"/>
    <cellStyle name="SHADEDSTORES 37" xfId="11274"/>
    <cellStyle name="SHADEDSTORES 38" xfId="11277"/>
    <cellStyle name="SHADEDSTORES 4" xfId="11280"/>
    <cellStyle name="SHADEDSTORES 4 10" xfId="11281"/>
    <cellStyle name="SHADEDSTORES 4 2" xfId="11282"/>
    <cellStyle name="SHADEDSTORES 4 2 2" xfId="11283"/>
    <cellStyle name="SHADEDSTORES 4 2 3" xfId="11287"/>
    <cellStyle name="SHADEDSTORES 4 2 4" xfId="11291"/>
    <cellStyle name="SHADEDSTORES 4 2 5" xfId="11295"/>
    <cellStyle name="SHADEDSTORES 4 2 6" xfId="11297"/>
    <cellStyle name="SHADEDSTORES 4 2 7" xfId="11298"/>
    <cellStyle name="SHADEDSTORES 4 2 8" xfId="11299"/>
    <cellStyle name="SHADEDSTORES 4 3" xfId="11300"/>
    <cellStyle name="SHADEDSTORES 4 3 2" xfId="11301"/>
    <cellStyle name="SHADEDSTORES 4 3 3" xfId="11304"/>
    <cellStyle name="SHADEDSTORES 4 3 4" xfId="11307"/>
    <cellStyle name="SHADEDSTORES 4 3 5" xfId="5297"/>
    <cellStyle name="SHADEDSTORES 4 3 6" xfId="568"/>
    <cellStyle name="SHADEDSTORES 4 3 7" xfId="576"/>
    <cellStyle name="SHADEDSTORES 4 3 8" xfId="11310"/>
    <cellStyle name="SHADEDSTORES 4 4" xfId="11311"/>
    <cellStyle name="SHADEDSTORES 4 5" xfId="11312"/>
    <cellStyle name="SHADEDSTORES 4 6" xfId="11313"/>
    <cellStyle name="SHADEDSTORES 4 7" xfId="11314"/>
    <cellStyle name="SHADEDSTORES 4 8" xfId="11315"/>
    <cellStyle name="SHADEDSTORES 4 9" xfId="11316"/>
    <cellStyle name="SHADEDSTORES 5" xfId="11317"/>
    <cellStyle name="SHADEDSTORES 5 10" xfId="11318"/>
    <cellStyle name="SHADEDSTORES 5 2" xfId="11319"/>
    <cellStyle name="SHADEDSTORES 5 2 2" xfId="11320"/>
    <cellStyle name="SHADEDSTORES 5 2 3" xfId="11325"/>
    <cellStyle name="SHADEDSTORES 5 2 4" xfId="11329"/>
    <cellStyle name="SHADEDSTORES 5 2 5" xfId="11333"/>
    <cellStyle name="SHADEDSTORES 5 2 6" xfId="11335"/>
    <cellStyle name="SHADEDSTORES 5 2 7" xfId="11336"/>
    <cellStyle name="SHADEDSTORES 5 2 8" xfId="11337"/>
    <cellStyle name="SHADEDSTORES 5 3" xfId="11338"/>
    <cellStyle name="SHADEDSTORES 5 3 2" xfId="6932"/>
    <cellStyle name="SHADEDSTORES 5 3 3" xfId="11339"/>
    <cellStyle name="SHADEDSTORES 5 3 4" xfId="11342"/>
    <cellStyle name="SHADEDSTORES 5 3 5" xfId="11345"/>
    <cellStyle name="SHADEDSTORES 5 3 6" xfId="11346"/>
    <cellStyle name="SHADEDSTORES 5 3 7" xfId="11347"/>
    <cellStyle name="SHADEDSTORES 5 3 8" xfId="11348"/>
    <cellStyle name="SHADEDSTORES 5 4" xfId="11349"/>
    <cellStyle name="SHADEDSTORES 5 5" xfId="11350"/>
    <cellStyle name="SHADEDSTORES 5 6" xfId="11351"/>
    <cellStyle name="SHADEDSTORES 5 7" xfId="11352"/>
    <cellStyle name="SHADEDSTORES 5 8" xfId="11353"/>
    <cellStyle name="SHADEDSTORES 5 9" xfId="11354"/>
    <cellStyle name="SHADEDSTORES 6" xfId="11355"/>
    <cellStyle name="SHADEDSTORES 6 10" xfId="11356"/>
    <cellStyle name="SHADEDSTORES 6 2" xfId="11357"/>
    <cellStyle name="SHADEDSTORES 6 2 2" xfId="11358"/>
    <cellStyle name="SHADEDSTORES 6 2 3" xfId="11362"/>
    <cellStyle name="SHADEDSTORES 6 2 4" xfId="11366"/>
    <cellStyle name="SHADEDSTORES 6 2 5" xfId="11370"/>
    <cellStyle name="SHADEDSTORES 6 2 6" xfId="11373"/>
    <cellStyle name="SHADEDSTORES 6 2 7" xfId="11376"/>
    <cellStyle name="SHADEDSTORES 6 2 8" xfId="11379"/>
    <cellStyle name="SHADEDSTORES 6 3" xfId="11382"/>
    <cellStyle name="SHADEDSTORES 6 3 2" xfId="11383"/>
    <cellStyle name="SHADEDSTORES 6 3 3" xfId="11386"/>
    <cellStyle name="SHADEDSTORES 6 3 4" xfId="11389"/>
    <cellStyle name="SHADEDSTORES 6 3 5" xfId="11392"/>
    <cellStyle name="SHADEDSTORES 6 3 6" xfId="11393"/>
    <cellStyle name="SHADEDSTORES 6 3 7" xfId="11396"/>
    <cellStyle name="SHADEDSTORES 6 3 8" xfId="11399"/>
    <cellStyle name="SHADEDSTORES 6 4" xfId="11402"/>
    <cellStyle name="SHADEDSTORES 6 5" xfId="11403"/>
    <cellStyle name="SHADEDSTORES 6 6" xfId="11404"/>
    <cellStyle name="SHADEDSTORES 6 7" xfId="11405"/>
    <cellStyle name="SHADEDSTORES 6 8" xfId="3389"/>
    <cellStyle name="SHADEDSTORES 6 9" xfId="5342"/>
    <cellStyle name="SHADEDSTORES 7" xfId="11406"/>
    <cellStyle name="SHADEDSTORES 7 10" xfId="11407"/>
    <cellStyle name="SHADEDSTORES 7 2" xfId="11408"/>
    <cellStyle name="SHADEDSTORES 7 2 2" xfId="11409"/>
    <cellStyle name="SHADEDSTORES 7 2 3" xfId="11413"/>
    <cellStyle name="SHADEDSTORES 7 2 4" xfId="11417"/>
    <cellStyle name="SHADEDSTORES 7 2 5" xfId="11421"/>
    <cellStyle name="SHADEDSTORES 7 2 6" xfId="11426"/>
    <cellStyle name="SHADEDSTORES 7 2 7" xfId="11429"/>
    <cellStyle name="SHADEDSTORES 7 2 8" xfId="11431"/>
    <cellStyle name="SHADEDSTORES 7 3" xfId="11433"/>
    <cellStyle name="SHADEDSTORES 7 3 2" xfId="11434"/>
    <cellStyle name="SHADEDSTORES 7 3 3" xfId="11437"/>
    <cellStyle name="SHADEDSTORES 7 3 4" xfId="11440"/>
    <cellStyle name="SHADEDSTORES 7 3 5" xfId="11443"/>
    <cellStyle name="SHADEDSTORES 7 3 6" xfId="11445"/>
    <cellStyle name="SHADEDSTORES 7 3 7" xfId="11447"/>
    <cellStyle name="SHADEDSTORES 7 3 8" xfId="11448"/>
    <cellStyle name="SHADEDSTORES 7 4" xfId="11449"/>
    <cellStyle name="SHADEDSTORES 7 5" xfId="11450"/>
    <cellStyle name="SHADEDSTORES 7 6" xfId="11451"/>
    <cellStyle name="SHADEDSTORES 7 7" xfId="11452"/>
    <cellStyle name="SHADEDSTORES 7 8" xfId="3395"/>
    <cellStyle name="SHADEDSTORES 7 9" xfId="5348"/>
    <cellStyle name="SHADEDSTORES 8" xfId="11453"/>
    <cellStyle name="SHADEDSTORES 8 10" xfId="11454"/>
    <cellStyle name="SHADEDSTORES 8 2" xfId="11455"/>
    <cellStyle name="SHADEDSTORES 8 2 2" xfId="11456"/>
    <cellStyle name="SHADEDSTORES 8 2 3" xfId="11459"/>
    <cellStyle name="SHADEDSTORES 8 2 4" xfId="11462"/>
    <cellStyle name="SHADEDSTORES 8 2 5" xfId="11465"/>
    <cellStyle name="SHADEDSTORES 8 2 6" xfId="11469"/>
    <cellStyle name="SHADEDSTORES 8 2 7" xfId="11470"/>
    <cellStyle name="SHADEDSTORES 8 2 8" xfId="11471"/>
    <cellStyle name="SHADEDSTORES 8 3" xfId="11472"/>
    <cellStyle name="SHADEDSTORES 8 3 2" xfId="11473"/>
    <cellStyle name="SHADEDSTORES 8 3 3" xfId="11475"/>
    <cellStyle name="SHADEDSTORES 8 3 4" xfId="11477"/>
    <cellStyle name="SHADEDSTORES 8 3 5" xfId="11479"/>
    <cellStyle name="SHADEDSTORES 8 3 6" xfId="11480"/>
    <cellStyle name="SHADEDSTORES 8 3 7" xfId="11481"/>
    <cellStyle name="SHADEDSTORES 8 3 8" xfId="11482"/>
    <cellStyle name="SHADEDSTORES 8 4" xfId="11483"/>
    <cellStyle name="SHADEDSTORES 8 5" xfId="11484"/>
    <cellStyle name="SHADEDSTORES 8 6" xfId="11485"/>
    <cellStyle name="SHADEDSTORES 8 7" xfId="11486"/>
    <cellStyle name="SHADEDSTORES 8 8" xfId="3401"/>
    <cellStyle name="SHADEDSTORES 8 9" xfId="5354"/>
    <cellStyle name="SHADEDSTORES 9" xfId="11487"/>
    <cellStyle name="SHADEDSTORES 9 10" xfId="11488"/>
    <cellStyle name="SHADEDSTORES 9 2" xfId="11489"/>
    <cellStyle name="SHADEDSTORES 9 2 2" xfId="11490"/>
    <cellStyle name="SHADEDSTORES 9 2 3" xfId="11493"/>
    <cellStyle name="SHADEDSTORES 9 2 4" xfId="11496"/>
    <cellStyle name="SHADEDSTORES 9 2 5" xfId="3685"/>
    <cellStyle name="SHADEDSTORES 9 2 6" xfId="11499"/>
    <cellStyle name="SHADEDSTORES 9 2 7" xfId="11501"/>
    <cellStyle name="SHADEDSTORES 9 2 8" xfId="11504"/>
    <cellStyle name="SHADEDSTORES 9 3" xfId="11505"/>
    <cellStyle name="SHADEDSTORES 9 3 2" xfId="11506"/>
    <cellStyle name="SHADEDSTORES 9 3 3" xfId="11507"/>
    <cellStyle name="SHADEDSTORES 9 3 4" xfId="6983"/>
    <cellStyle name="SHADEDSTORES 9 3 5" xfId="11508"/>
    <cellStyle name="SHADEDSTORES 9 3 6" xfId="11509"/>
    <cellStyle name="SHADEDSTORES 9 3 7" xfId="11510"/>
    <cellStyle name="SHADEDSTORES 9 3 8" xfId="11511"/>
    <cellStyle name="SHADEDSTORES 9 4" xfId="11512"/>
    <cellStyle name="SHADEDSTORES 9 5" xfId="11513"/>
    <cellStyle name="SHADEDSTORES 9 6" xfId="11514"/>
    <cellStyle name="SHADEDSTORES 9 7" xfId="11515"/>
    <cellStyle name="SHADEDSTORES 9 8" xfId="5357"/>
    <cellStyle name="SHADEDSTORES 9 9" xfId="5360"/>
    <cellStyle name="specstores" xfId="11516"/>
    <cellStyle name="specstores 10" xfId="11519"/>
    <cellStyle name="specstores 10 2" xfId="11520"/>
    <cellStyle name="specstores 10 3" xfId="11522"/>
    <cellStyle name="specstores 11" xfId="11524"/>
    <cellStyle name="specstores 12" xfId="11525"/>
    <cellStyle name="specstores 13" xfId="11528"/>
    <cellStyle name="specstores 14" xfId="11531"/>
    <cellStyle name="specstores 15" xfId="11534"/>
    <cellStyle name="specstores 15 2" xfId="11538"/>
    <cellStyle name="specstores 15 3" xfId="11541"/>
    <cellStyle name="specstores 16" xfId="11544"/>
    <cellStyle name="specstores 16 2" xfId="11548"/>
    <cellStyle name="specstores 16 3" xfId="11552"/>
    <cellStyle name="specstores 17" xfId="11556"/>
    <cellStyle name="specstores 18" xfId="11562"/>
    <cellStyle name="specstores 19" xfId="11568"/>
    <cellStyle name="specstores 2" xfId="11574"/>
    <cellStyle name="specstores 2 10" xfId="11577"/>
    <cellStyle name="specstores 2 2" xfId="11578"/>
    <cellStyle name="specstores 2 3" xfId="11579"/>
    <cellStyle name="specstores 2 4" xfId="11580"/>
    <cellStyle name="specstores 2 5" xfId="11581"/>
    <cellStyle name="specstores 2 6" xfId="11584"/>
    <cellStyle name="specstores 2 7" xfId="11585"/>
    <cellStyle name="specstores 2 8" xfId="11586"/>
    <cellStyle name="specstores 2 9" xfId="11587"/>
    <cellStyle name="specstores 20" xfId="11535"/>
    <cellStyle name="specstores 21" xfId="11545"/>
    <cellStyle name="specstores 21 2" xfId="11549"/>
    <cellStyle name="specstores 21 3" xfId="11553"/>
    <cellStyle name="specstores 22" xfId="11557"/>
    <cellStyle name="specstores 23" xfId="11563"/>
    <cellStyle name="specstores 24" xfId="11569"/>
    <cellStyle name="specstores 25" xfId="11588"/>
    <cellStyle name="specstores 26" xfId="11592"/>
    <cellStyle name="specstores 27" xfId="11595"/>
    <cellStyle name="specstores 28" xfId="11598"/>
    <cellStyle name="specstores 29" xfId="11601"/>
    <cellStyle name="specstores 3" xfId="11605"/>
    <cellStyle name="specstores 3 10" xfId="11606"/>
    <cellStyle name="specstores 3 2" xfId="11607"/>
    <cellStyle name="specstores 3 3" xfId="11608"/>
    <cellStyle name="specstores 3 4" xfId="11609"/>
    <cellStyle name="specstores 3 5" xfId="11610"/>
    <cellStyle name="specstores 3 6" xfId="11611"/>
    <cellStyle name="specstores 3 7" xfId="11612"/>
    <cellStyle name="specstores 3 8" xfId="11613"/>
    <cellStyle name="specstores 3 9" xfId="11614"/>
    <cellStyle name="specstores 4" xfId="11615"/>
    <cellStyle name="specstores 5" xfId="11617"/>
    <cellStyle name="specstores 5 2" xfId="11619"/>
    <cellStyle name="specstores 5 3" xfId="11621"/>
    <cellStyle name="specstores 6" xfId="11623"/>
    <cellStyle name="specstores 6 2" xfId="11625"/>
    <cellStyle name="specstores 6 3" xfId="11626"/>
    <cellStyle name="specstores 7" xfId="11629"/>
    <cellStyle name="specstores 7 2" xfId="11631"/>
    <cellStyle name="specstores 7 3" xfId="11632"/>
    <cellStyle name="specstores 8" xfId="11635"/>
    <cellStyle name="specstores 9" xfId="11637"/>
    <cellStyle name="sstot" xfId="11639"/>
    <cellStyle name="sstot 10" xfId="7698"/>
    <cellStyle name="sstot 10 2" xfId="11642"/>
    <cellStyle name="sstot 10 3" xfId="11644"/>
    <cellStyle name="sstot 11" xfId="11646"/>
    <cellStyle name="sstot 12" xfId="11648"/>
    <cellStyle name="sstot 13" xfId="11650"/>
    <cellStyle name="sstot 14" xfId="11652"/>
    <cellStyle name="sstot 14 2" xfId="11654"/>
    <cellStyle name="sstot 14 3" xfId="11656"/>
    <cellStyle name="sstot 15" xfId="11658"/>
    <cellStyle name="sstot 16" xfId="11661"/>
    <cellStyle name="sstot 17" xfId="11663"/>
    <cellStyle name="sstot 18" xfId="11665"/>
    <cellStyle name="sstot 19" xfId="11666"/>
    <cellStyle name="sstot 2" xfId="5029"/>
    <cellStyle name="sstot 2 10" xfId="11668"/>
    <cellStyle name="sstot 2 10 2" xfId="11671"/>
    <cellStyle name="sstot 2 10 3" xfId="11676"/>
    <cellStyle name="sstot 2 2" xfId="11681"/>
    <cellStyle name="sstot 2 2 2" xfId="204"/>
    <cellStyle name="sstot 2 2 3" xfId="11686"/>
    <cellStyle name="sstot 2 3" xfId="11688"/>
    <cellStyle name="sstot 2 3 2" xfId="11693"/>
    <cellStyle name="sstot 2 3 3" xfId="11696"/>
    <cellStyle name="sstot 2 4" xfId="11700"/>
    <cellStyle name="sstot 2 4 2" xfId="11705"/>
    <cellStyle name="sstot 2 4 3" xfId="11710"/>
    <cellStyle name="sstot 2 5" xfId="11410"/>
    <cellStyle name="sstot 2 5 2" xfId="11716"/>
    <cellStyle name="sstot 2 5 3" xfId="11717"/>
    <cellStyle name="sstot 2 6" xfId="11414"/>
    <cellStyle name="sstot 2 6 2" xfId="11719"/>
    <cellStyle name="sstot 2 6 3" xfId="11720"/>
    <cellStyle name="sstot 2 7" xfId="11418"/>
    <cellStyle name="sstot 2 7 2" xfId="11722"/>
    <cellStyle name="sstot 2 7 3" xfId="11723"/>
    <cellStyle name="sstot 2 8" xfId="11422"/>
    <cellStyle name="sstot 2 8 2" xfId="11725"/>
    <cellStyle name="sstot 2 8 3" xfId="11726"/>
    <cellStyle name="sstot 2 9" xfId="11427"/>
    <cellStyle name="sstot 2 9 2" xfId="11727"/>
    <cellStyle name="sstot 2 9 3" xfId="11729"/>
    <cellStyle name="sstot 20" xfId="11659"/>
    <cellStyle name="sstot 21" xfId="11662"/>
    <cellStyle name="sstot 22" xfId="11664"/>
    <cellStyle name="sstot 3" xfId="11730"/>
    <cellStyle name="sstot 3 10" xfId="11733"/>
    <cellStyle name="sstot 3 10 2" xfId="11735"/>
    <cellStyle name="sstot 3 10 3" xfId="11736"/>
    <cellStyle name="sstot 3 2" xfId="11737"/>
    <cellStyle name="sstot 3 2 2" xfId="11741"/>
    <cellStyle name="sstot 3 2 3" xfId="11742"/>
    <cellStyle name="sstot 3 3" xfId="11743"/>
    <cellStyle name="sstot 3 3 2" xfId="11747"/>
    <cellStyle name="sstot 3 3 3" xfId="11750"/>
    <cellStyle name="sstot 3 4" xfId="11753"/>
    <cellStyle name="sstot 3 4 2" xfId="11757"/>
    <cellStyle name="sstot 3 4 3" xfId="11760"/>
    <cellStyle name="sstot 3 5" xfId="11435"/>
    <cellStyle name="sstot 3 5 2" xfId="11763"/>
    <cellStyle name="sstot 3 5 3" xfId="11764"/>
    <cellStyle name="sstot 3 6" xfId="11438"/>
    <cellStyle name="sstot 3 6 2" xfId="11765"/>
    <cellStyle name="sstot 3 6 3" xfId="11766"/>
    <cellStyle name="sstot 3 7" xfId="11441"/>
    <cellStyle name="sstot 3 7 2" xfId="11767"/>
    <cellStyle name="sstot 3 7 3" xfId="11768"/>
    <cellStyle name="sstot 3 8" xfId="11444"/>
    <cellStyle name="sstot 3 8 2" xfId="11769"/>
    <cellStyle name="sstot 3 8 3" xfId="11772"/>
    <cellStyle name="sstot 3 9" xfId="11446"/>
    <cellStyle name="sstot 3 9 2" xfId="11775"/>
    <cellStyle name="sstot 3 9 3" xfId="11776"/>
    <cellStyle name="sstot 4" xfId="11777"/>
    <cellStyle name="sstot 4 2" xfId="11779"/>
    <cellStyle name="sstot 4 3" xfId="11782"/>
    <cellStyle name="sstot 5" xfId="11785"/>
    <cellStyle name="sstot 6" xfId="11787"/>
    <cellStyle name="sstot 7" xfId="11789"/>
    <cellStyle name="sstot 7 2" xfId="7251"/>
    <cellStyle name="sstot 7 3" xfId="7254"/>
    <cellStyle name="sstot 8" xfId="11791"/>
    <cellStyle name="sstot 9" xfId="11793"/>
    <cellStyle name="sstot 9 2" xfId="11794"/>
    <cellStyle name="sstot 9 3" xfId="11795"/>
    <cellStyle name="Standard_AREAS" xfId="11796"/>
    <cellStyle name="Subtotal" xfId="11797"/>
    <cellStyle name="Subtotal 10" xfId="11798"/>
    <cellStyle name="Subtotal 10 2" xfId="11799"/>
    <cellStyle name="Subtotal 10 3" xfId="11800"/>
    <cellStyle name="Subtotal 11" xfId="11801"/>
    <cellStyle name="Subtotal 12" xfId="11802"/>
    <cellStyle name="Subtotal 13" xfId="11803"/>
    <cellStyle name="Subtotal 14" xfId="11804"/>
    <cellStyle name="Subtotal 15" xfId="11805"/>
    <cellStyle name="Subtotal 15 2" xfId="11807"/>
    <cellStyle name="Subtotal 15 3" xfId="11808"/>
    <cellStyle name="Subtotal 16" xfId="11809"/>
    <cellStyle name="Subtotal 16 2" xfId="529"/>
    <cellStyle name="Subtotal 16 3" xfId="1353"/>
    <cellStyle name="Subtotal 17" xfId="11811"/>
    <cellStyle name="Subtotal 18" xfId="11813"/>
    <cellStyle name="Subtotal 19" xfId="11815"/>
    <cellStyle name="Subtotal 2" xfId="11817"/>
    <cellStyle name="Subtotal 2 10" xfId="11818"/>
    <cellStyle name="Subtotal 2 2" xfId="8957"/>
    <cellStyle name="Subtotal 2 3" xfId="11819"/>
    <cellStyle name="Subtotal 2 4" xfId="11820"/>
    <cellStyle name="Subtotal 2 5" xfId="11821"/>
    <cellStyle name="Subtotal 2 6" xfId="11822"/>
    <cellStyle name="Subtotal 2 7" xfId="11823"/>
    <cellStyle name="Subtotal 2 8" xfId="11824"/>
    <cellStyle name="Subtotal 2 9" xfId="11825"/>
    <cellStyle name="Subtotal 20" xfId="11806"/>
    <cellStyle name="Subtotal 21" xfId="11810"/>
    <cellStyle name="Subtotal 21 2" xfId="528"/>
    <cellStyle name="Subtotal 21 3" xfId="1352"/>
    <cellStyle name="Subtotal 22" xfId="11812"/>
    <cellStyle name="Subtotal 23" xfId="11814"/>
    <cellStyle name="Subtotal 24" xfId="11816"/>
    <cellStyle name="Subtotal 25" xfId="11826"/>
    <cellStyle name="Subtotal 26" xfId="11827"/>
    <cellStyle name="Subtotal 27" xfId="11828"/>
    <cellStyle name="Subtotal 28" xfId="1242"/>
    <cellStyle name="Subtotal 29" xfId="1255"/>
    <cellStyle name="Subtotal 3" xfId="11829"/>
    <cellStyle name="Subtotal 3 10" xfId="7877"/>
    <cellStyle name="Subtotal 3 2" xfId="8960"/>
    <cellStyle name="Subtotal 3 3" xfId="11830"/>
    <cellStyle name="Subtotal 3 4" xfId="11831"/>
    <cellStyle name="Subtotal 3 5" xfId="3265"/>
    <cellStyle name="Subtotal 3 6" xfId="3267"/>
    <cellStyle name="Subtotal 3 7" xfId="11832"/>
    <cellStyle name="Subtotal 3 8" xfId="11833"/>
    <cellStyle name="Subtotal 3 9" xfId="11834"/>
    <cellStyle name="Subtotal 4" xfId="11835"/>
    <cellStyle name="Subtotal 5" xfId="11836"/>
    <cellStyle name="Subtotal 5 2" xfId="11837"/>
    <cellStyle name="Subtotal 5 3" xfId="11838"/>
    <cellStyle name="Subtotal 6" xfId="11839"/>
    <cellStyle name="Subtotal 6 2" xfId="11840"/>
    <cellStyle name="Subtotal 6 3" xfId="11841"/>
    <cellStyle name="Subtotal 7" xfId="11842"/>
    <cellStyle name="Subtotal 7 2" xfId="11843"/>
    <cellStyle name="Subtotal 7 3" xfId="11846"/>
    <cellStyle name="Subtotal 8" xfId="11847"/>
    <cellStyle name="Subtotal 9" xfId="11848"/>
    <cellStyle name="t" xfId="11849"/>
    <cellStyle name="t 10" xfId="11852"/>
    <cellStyle name="t 10 2" xfId="11853"/>
    <cellStyle name="t 10 3" xfId="11854"/>
    <cellStyle name="t 11" xfId="11855"/>
    <cellStyle name="t 12" xfId="11856"/>
    <cellStyle name="t 13" xfId="11857"/>
    <cellStyle name="t 14" xfId="11858"/>
    <cellStyle name="t 14 2" xfId="11859"/>
    <cellStyle name="t 14 3" xfId="11861"/>
    <cellStyle name="t 15" xfId="11863"/>
    <cellStyle name="t 16" xfId="11865"/>
    <cellStyle name="t 17" xfId="11867"/>
    <cellStyle name="t 18" xfId="11873"/>
    <cellStyle name="t 19" xfId="11878"/>
    <cellStyle name="t 2" xfId="11883"/>
    <cellStyle name="t 2 10" xfId="11885"/>
    <cellStyle name="t 2 10 2" xfId="9584"/>
    <cellStyle name="t 2 10 3" xfId="11886"/>
    <cellStyle name="t 2 2" xfId="11889"/>
    <cellStyle name="t 2 2 2" xfId="3013"/>
    <cellStyle name="t 2 2 3" xfId="3015"/>
    <cellStyle name="t 2 3" xfId="11890"/>
    <cellStyle name="t 2 3 2" xfId="11891"/>
    <cellStyle name="t 2 3 3" xfId="11892"/>
    <cellStyle name="t 2 4" xfId="11893"/>
    <cellStyle name="t 2 4 2" xfId="11894"/>
    <cellStyle name="t 2 4 3" xfId="11896"/>
    <cellStyle name="t 2 5" xfId="11898"/>
    <cellStyle name="t 2 5 2" xfId="11899"/>
    <cellStyle name="t 2 5 3" xfId="11902"/>
    <cellStyle name="t 2 6" xfId="11905"/>
    <cellStyle name="t 2 6 2" xfId="11906"/>
    <cellStyle name="t 2 6 3" xfId="11909"/>
    <cellStyle name="t 2 7" xfId="11912"/>
    <cellStyle name="t 2 7 2" xfId="11913"/>
    <cellStyle name="t 2 7 3" xfId="11914"/>
    <cellStyle name="t 2 8" xfId="11915"/>
    <cellStyle name="t 2 8 2" xfId="11916"/>
    <cellStyle name="t 2 8 3" xfId="11917"/>
    <cellStyle name="t 2 9" xfId="11918"/>
    <cellStyle name="t 2 9 2" xfId="11920"/>
    <cellStyle name="t 2 9 3" xfId="11921"/>
    <cellStyle name="t 20" xfId="11864"/>
    <cellStyle name="t 21" xfId="11866"/>
    <cellStyle name="t 22" xfId="11868"/>
    <cellStyle name="t 3" xfId="11922"/>
    <cellStyle name="t 3 10" xfId="11924"/>
    <cellStyle name="t 3 10 2" xfId="9966"/>
    <cellStyle name="t 3 10 3" xfId="9968"/>
    <cellStyle name="t 3 2" xfId="11927"/>
    <cellStyle name="t 3 2 2" xfId="11928"/>
    <cellStyle name="t 3 2 3" xfId="11930"/>
    <cellStyle name="t 3 3" xfId="11932"/>
    <cellStyle name="t 3 3 2" xfId="11933"/>
    <cellStyle name="t 3 3 3" xfId="11935"/>
    <cellStyle name="t 3 4" xfId="11937"/>
    <cellStyle name="t 3 4 2" xfId="11938"/>
    <cellStyle name="t 3 4 3" xfId="11939"/>
    <cellStyle name="t 3 5" xfId="11940"/>
    <cellStyle name="t 3 5 2" xfId="11941"/>
    <cellStyle name="t 3 5 3" xfId="11944"/>
    <cellStyle name="t 3 6" xfId="11947"/>
    <cellStyle name="t 3 6 2" xfId="11948"/>
    <cellStyle name="t 3 6 3" xfId="11951"/>
    <cellStyle name="t 3 7" xfId="11954"/>
    <cellStyle name="t 3 7 2" xfId="11955"/>
    <cellStyle name="t 3 7 3" xfId="11956"/>
    <cellStyle name="t 3 8" xfId="11957"/>
    <cellStyle name="t 3 8 2" xfId="11958"/>
    <cellStyle name="t 3 8 3" xfId="11959"/>
    <cellStyle name="t 3 9" xfId="11960"/>
    <cellStyle name="t 3 9 2" xfId="11961"/>
    <cellStyle name="t 3 9 3" xfId="11962"/>
    <cellStyle name="t 4" xfId="11963"/>
    <cellStyle name="t 4 2" xfId="11965"/>
    <cellStyle name="t 4 3" xfId="11966"/>
    <cellStyle name="t 5" xfId="11968"/>
    <cellStyle name="t 6" xfId="11970"/>
    <cellStyle name="t 7" xfId="11972"/>
    <cellStyle name="t 7 2" xfId="11974"/>
    <cellStyle name="t 7 3" xfId="11975"/>
    <cellStyle name="t 8" xfId="11976"/>
    <cellStyle name="t 9" xfId="11977"/>
    <cellStyle name="t 9 2" xfId="11978"/>
    <cellStyle name="t 9 3" xfId="11980"/>
    <cellStyle name="t_HVAC Equipment (3)" xfId="11982"/>
    <cellStyle name="t_HVAC Equipment (3) 10" xfId="11983"/>
    <cellStyle name="t_HVAC Equipment (3) 10 2" xfId="11984"/>
    <cellStyle name="t_HVAC Equipment (3) 10 3" xfId="11985"/>
    <cellStyle name="t_HVAC Equipment (3) 11" xfId="11986"/>
    <cellStyle name="t_HVAC Equipment (3) 12" xfId="11987"/>
    <cellStyle name="t_HVAC Equipment (3) 13" xfId="11988"/>
    <cellStyle name="t_HVAC Equipment (3) 14" xfId="11989"/>
    <cellStyle name="t_HVAC Equipment (3) 14 2" xfId="11990"/>
    <cellStyle name="t_HVAC Equipment (3) 14 3" xfId="11991"/>
    <cellStyle name="t_HVAC Equipment (3) 15" xfId="11992"/>
    <cellStyle name="t_HVAC Equipment (3) 16" xfId="11994"/>
    <cellStyle name="t_HVAC Equipment (3) 17" xfId="11996"/>
    <cellStyle name="t_HVAC Equipment (3) 18" xfId="11998"/>
    <cellStyle name="t_HVAC Equipment (3) 19" xfId="11999"/>
    <cellStyle name="t_HVAC Equipment (3) 2" xfId="12000"/>
    <cellStyle name="t_HVAC Equipment (3) 2 10" xfId="12002"/>
    <cellStyle name="t_HVAC Equipment (3) 2 10 2" xfId="12003"/>
    <cellStyle name="t_HVAC Equipment (3) 2 10 3" xfId="12006"/>
    <cellStyle name="t_HVAC Equipment (3) 2 2" xfId="12009"/>
    <cellStyle name="t_HVAC Equipment (3) 2 2 2" xfId="12011"/>
    <cellStyle name="t_HVAC Equipment (3) 2 2 3" xfId="12015"/>
    <cellStyle name="t_HVAC Equipment (3) 2 3" xfId="12017"/>
    <cellStyle name="t_HVAC Equipment (3) 2 3 2" xfId="12019"/>
    <cellStyle name="t_HVAC Equipment (3) 2 3 3" xfId="12021"/>
    <cellStyle name="t_HVAC Equipment (3) 2 4" xfId="12023"/>
    <cellStyle name="t_HVAC Equipment (3) 2 4 2" xfId="12025"/>
    <cellStyle name="t_HVAC Equipment (3) 2 4 3" xfId="12027"/>
    <cellStyle name="t_HVAC Equipment (3) 2 5" xfId="12029"/>
    <cellStyle name="t_HVAC Equipment (3) 2 5 2" xfId="12031"/>
    <cellStyle name="t_HVAC Equipment (3) 2 5 3" xfId="12033"/>
    <cellStyle name="t_HVAC Equipment (3) 2 6" xfId="12035"/>
    <cellStyle name="t_HVAC Equipment (3) 2 6 2" xfId="12037"/>
    <cellStyle name="t_HVAC Equipment (3) 2 6 3" xfId="12040"/>
    <cellStyle name="t_HVAC Equipment (3) 2 7" xfId="12043"/>
    <cellStyle name="t_HVAC Equipment (3) 2 7 2" xfId="12045"/>
    <cellStyle name="t_HVAC Equipment (3) 2 7 3" xfId="12050"/>
    <cellStyle name="t_HVAC Equipment (3) 2 8" xfId="12053"/>
    <cellStyle name="t_HVAC Equipment (3) 2 8 2" xfId="12055"/>
    <cellStyle name="t_HVAC Equipment (3) 2 8 3" xfId="12056"/>
    <cellStyle name="t_HVAC Equipment (3) 2 9" xfId="12057"/>
    <cellStyle name="t_HVAC Equipment (3) 2 9 2" xfId="12058"/>
    <cellStyle name="t_HVAC Equipment (3) 2 9 3" xfId="12059"/>
    <cellStyle name="t_HVAC Equipment (3) 20" xfId="11993"/>
    <cellStyle name="t_HVAC Equipment (3) 21" xfId="11995"/>
    <cellStyle name="t_HVAC Equipment (3) 22" xfId="11997"/>
    <cellStyle name="t_HVAC Equipment (3) 3" xfId="12060"/>
    <cellStyle name="t_HVAC Equipment (3) 3 10" xfId="11255"/>
    <cellStyle name="t_HVAC Equipment (3) 3 10 2" xfId="12062"/>
    <cellStyle name="t_HVAC Equipment (3) 3 10 3" xfId="12063"/>
    <cellStyle name="t_HVAC Equipment (3) 3 2" xfId="12064"/>
    <cellStyle name="t_HVAC Equipment (3) 3 2 2" xfId="12065"/>
    <cellStyle name="t_HVAC Equipment (3) 3 2 3" xfId="12068"/>
    <cellStyle name="t_HVAC Equipment (3) 3 3" xfId="12069"/>
    <cellStyle name="t_HVAC Equipment (3) 3 3 2" xfId="1247"/>
    <cellStyle name="t_HVAC Equipment (3) 3 3 3" xfId="1282"/>
    <cellStyle name="t_HVAC Equipment (3) 3 4" xfId="12070"/>
    <cellStyle name="t_HVAC Equipment (3) 3 4 2" xfId="12071"/>
    <cellStyle name="t_HVAC Equipment (3) 3 4 3" xfId="12073"/>
    <cellStyle name="t_HVAC Equipment (3) 3 5" xfId="12075"/>
    <cellStyle name="t_HVAC Equipment (3) 3 5 2" xfId="12076"/>
    <cellStyle name="t_HVAC Equipment (3) 3 5 3" xfId="12078"/>
    <cellStyle name="t_HVAC Equipment (3) 3 6" xfId="12080"/>
    <cellStyle name="t_HVAC Equipment (3) 3 6 2" xfId="12081"/>
    <cellStyle name="t_HVAC Equipment (3) 3 6 3" xfId="12084"/>
    <cellStyle name="t_HVAC Equipment (3) 3 7" xfId="12087"/>
    <cellStyle name="t_HVAC Equipment (3) 3 7 2" xfId="12088"/>
    <cellStyle name="t_HVAC Equipment (3) 3 7 3" xfId="12093"/>
    <cellStyle name="t_HVAC Equipment (3) 3 8" xfId="12096"/>
    <cellStyle name="t_HVAC Equipment (3) 3 8 2" xfId="1859"/>
    <cellStyle name="t_HVAC Equipment (3) 3 8 3" xfId="1999"/>
    <cellStyle name="t_HVAC Equipment (3) 3 9" xfId="12097"/>
    <cellStyle name="t_HVAC Equipment (3) 3 9 2" xfId="12098"/>
    <cellStyle name="t_HVAC Equipment (3) 3 9 3" xfId="12099"/>
    <cellStyle name="t_HVAC Equipment (3) 4" xfId="12100"/>
    <cellStyle name="t_HVAC Equipment (3) 4 2" xfId="12102"/>
    <cellStyle name="t_HVAC Equipment (3) 4 3" xfId="12103"/>
    <cellStyle name="t_HVAC Equipment (3) 5" xfId="12104"/>
    <cellStyle name="t_HVAC Equipment (3) 6" xfId="12106"/>
    <cellStyle name="t_HVAC Equipment (3) 7" xfId="12108"/>
    <cellStyle name="t_HVAC Equipment (3) 7 2" xfId="12112"/>
    <cellStyle name="t_HVAC Equipment (3) 7 3" xfId="12117"/>
    <cellStyle name="t_HVAC Equipment (3) 8" xfId="12120"/>
    <cellStyle name="t_HVAC Equipment (3) 9" xfId="12122"/>
    <cellStyle name="t_HVAC Equipment (3) 9 2" xfId="12123"/>
    <cellStyle name="t_HVAC Equipment (3) 9 3" xfId="12124"/>
    <cellStyle name="t_HVAC Equipment (3)_一期景观安装工程" xfId="12125"/>
    <cellStyle name="t_HVAC Equipment (3)_一期景观安装工程 10" xfId="12126"/>
    <cellStyle name="t_HVAC Equipment (3)_一期景观安装工程 10 2" xfId="12127"/>
    <cellStyle name="t_HVAC Equipment (3)_一期景观安装工程 10 3" xfId="12132"/>
    <cellStyle name="t_HVAC Equipment (3)_一期景观安装工程 11" xfId="12137"/>
    <cellStyle name="t_HVAC Equipment (3)_一期景观安装工程 12" xfId="12138"/>
    <cellStyle name="t_HVAC Equipment (3)_一期景观安装工程 13" xfId="12139"/>
    <cellStyle name="t_HVAC Equipment (3)_一期景观安装工程 14" xfId="12140"/>
    <cellStyle name="t_HVAC Equipment (3)_一期景观安装工程 14 2" xfId="12143"/>
    <cellStyle name="t_HVAC Equipment (3)_一期景观安装工程 14 3" xfId="12146"/>
    <cellStyle name="t_HVAC Equipment (3)_一期景观安装工程 15" xfId="12149"/>
    <cellStyle name="t_HVAC Equipment (3)_一期景观安装工程 16" xfId="12155"/>
    <cellStyle name="t_HVAC Equipment (3)_一期景观安装工程 17" xfId="12159"/>
    <cellStyle name="t_HVAC Equipment (3)_一期景观安装工程 18" xfId="12163"/>
    <cellStyle name="t_HVAC Equipment (3)_一期景观安装工程 19" xfId="12166"/>
    <cellStyle name="t_HVAC Equipment (3)_一期景观安装工程 2" xfId="12169"/>
    <cellStyle name="t_HVAC Equipment (3)_一期景观安装工程 2 10" xfId="12170"/>
    <cellStyle name="t_HVAC Equipment (3)_一期景观安装工程 2 10 2" xfId="12171"/>
    <cellStyle name="t_HVAC Equipment (3)_一期景观安装工程 2 10 3" xfId="12172"/>
    <cellStyle name="t_HVAC Equipment (3)_一期景观安装工程 2 2" xfId="12173"/>
    <cellStyle name="t_HVAC Equipment (3)_一期景观安装工程 2 2 2" xfId="12174"/>
    <cellStyle name="t_HVAC Equipment (3)_一期景观安装工程 2 2 3" xfId="12175"/>
    <cellStyle name="t_HVAC Equipment (3)_一期景观安装工程 2 3" xfId="12176"/>
    <cellStyle name="t_HVAC Equipment (3)_一期景观安装工程 2 3 2" xfId="12177"/>
    <cellStyle name="t_HVAC Equipment (3)_一期景观安装工程 2 3 3" xfId="12181"/>
    <cellStyle name="t_HVAC Equipment (3)_一期景观安装工程 2 4" xfId="12184"/>
    <cellStyle name="t_HVAC Equipment (3)_一期景观安装工程 2 4 2" xfId="12185"/>
    <cellStyle name="t_HVAC Equipment (3)_一期景观安装工程 2 4 3" xfId="12188"/>
    <cellStyle name="t_HVAC Equipment (3)_一期景观安装工程 2 5" xfId="12191"/>
    <cellStyle name="t_HVAC Equipment (3)_一期景观安装工程 2 5 2" xfId="12192"/>
    <cellStyle name="t_HVAC Equipment (3)_一期景观安装工程 2 5 3" xfId="12193"/>
    <cellStyle name="t_HVAC Equipment (3)_一期景观安装工程 2 6" xfId="12194"/>
    <cellStyle name="t_HVAC Equipment (3)_一期景观安装工程 2 6 2" xfId="12196"/>
    <cellStyle name="t_HVAC Equipment (3)_一期景观安装工程 2 6 3" xfId="12197"/>
    <cellStyle name="t_HVAC Equipment (3)_一期景观安装工程 2 7" xfId="12198"/>
    <cellStyle name="t_HVAC Equipment (3)_一期景观安装工程 2 7 2" xfId="12200"/>
    <cellStyle name="t_HVAC Equipment (3)_一期景观安装工程 2 7 3" xfId="12201"/>
    <cellStyle name="t_HVAC Equipment (3)_一期景观安装工程 2 8" xfId="12202"/>
    <cellStyle name="t_HVAC Equipment (3)_一期景观安装工程 2 8 2" xfId="12204"/>
    <cellStyle name="t_HVAC Equipment (3)_一期景观安装工程 2 8 3" xfId="12207"/>
    <cellStyle name="t_HVAC Equipment (3)_一期景观安装工程 2 9" xfId="12209"/>
    <cellStyle name="t_HVAC Equipment (3)_一期景观安装工程 2 9 2" xfId="12211"/>
    <cellStyle name="t_HVAC Equipment (3)_一期景观安装工程 2 9 3" xfId="12213"/>
    <cellStyle name="t_HVAC Equipment (3)_一期景观安装工程 20" xfId="12150"/>
    <cellStyle name="t_HVAC Equipment (3)_一期景观安装工程 21" xfId="12156"/>
    <cellStyle name="t_HVAC Equipment (3)_一期景观安装工程 22" xfId="12160"/>
    <cellStyle name="t_HVAC Equipment (3)_一期景观安装工程 3" xfId="12215"/>
    <cellStyle name="t_HVAC Equipment (3)_一期景观安装工程 3 10" xfId="12216"/>
    <cellStyle name="t_HVAC Equipment (3)_一期景观安装工程 3 10 2" xfId="12217"/>
    <cellStyle name="t_HVAC Equipment (3)_一期景观安装工程 3 10 3" xfId="12218"/>
    <cellStyle name="t_HVAC Equipment (3)_一期景观安装工程 3 2" xfId="12219"/>
    <cellStyle name="t_HVAC Equipment (3)_一期景观安装工程 3 2 2" xfId="4200"/>
    <cellStyle name="t_HVAC Equipment (3)_一期景观安装工程 3 2 3" xfId="4214"/>
    <cellStyle name="t_HVAC Equipment (3)_一期景观安装工程 3 3" xfId="12220"/>
    <cellStyle name="t_HVAC Equipment (3)_一期景观安装工程 3 3 2" xfId="12221"/>
    <cellStyle name="t_HVAC Equipment (3)_一期景观安装工程 3 3 3" xfId="12224"/>
    <cellStyle name="t_HVAC Equipment (3)_一期景观安装工程 3 4" xfId="12227"/>
    <cellStyle name="t_HVAC Equipment (3)_一期景观安装工程 3 4 2" xfId="12228"/>
    <cellStyle name="t_HVAC Equipment (3)_一期景观安装工程 3 4 3" xfId="12231"/>
    <cellStyle name="t_HVAC Equipment (3)_一期景观安装工程 3 5" xfId="12234"/>
    <cellStyle name="t_HVAC Equipment (3)_一期景观安装工程 3 5 2" xfId="12235"/>
    <cellStyle name="t_HVAC Equipment (3)_一期景观安装工程 3 5 3" xfId="12236"/>
    <cellStyle name="t_HVAC Equipment (3)_一期景观安装工程 3 6" xfId="12237"/>
    <cellStyle name="t_HVAC Equipment (3)_一期景观安装工程 3 6 2" xfId="12238"/>
    <cellStyle name="t_HVAC Equipment (3)_一期景观安装工程 3 6 3" xfId="12239"/>
    <cellStyle name="t_HVAC Equipment (3)_一期景观安装工程 3 7" xfId="12240"/>
    <cellStyle name="t_HVAC Equipment (3)_一期景观安装工程 3 7 2" xfId="12243"/>
    <cellStyle name="t_HVAC Equipment (3)_一期景观安装工程 3 7 3" xfId="8580"/>
    <cellStyle name="t_HVAC Equipment (3)_一期景观安装工程 3 8" xfId="12244"/>
    <cellStyle name="t_HVAC Equipment (3)_一期景观安装工程 3 8 2" xfId="12247"/>
    <cellStyle name="t_HVAC Equipment (3)_一期景观安装工程 3 8 3" xfId="12249"/>
    <cellStyle name="t_HVAC Equipment (3)_一期景观安装工程 3 9" xfId="12251"/>
    <cellStyle name="t_HVAC Equipment (3)_一期景观安装工程 3 9 2" xfId="12254"/>
    <cellStyle name="t_HVAC Equipment (3)_一期景观安装工程 3 9 3" xfId="12256"/>
    <cellStyle name="t_HVAC Equipment (3)_一期景观安装工程 4" xfId="1003"/>
    <cellStyle name="t_HVAC Equipment (3)_一期景观安装工程 4 2" xfId="4331"/>
    <cellStyle name="t_HVAC Equipment (3)_一期景观安装工程 4 3" xfId="4336"/>
    <cellStyle name="t_HVAC Equipment (3)_一期景观安装工程 5" xfId="12258"/>
    <cellStyle name="t_HVAC Equipment (3)_一期景观安装工程 6" xfId="12259"/>
    <cellStyle name="t_HVAC Equipment (3)_一期景观安装工程 7" xfId="12260"/>
    <cellStyle name="t_HVAC Equipment (3)_一期景观安装工程 7 2" xfId="12261"/>
    <cellStyle name="t_HVAC Equipment (3)_一期景观安装工程 7 3" xfId="12262"/>
    <cellStyle name="t_HVAC Equipment (3)_一期景观安装工程 8" xfId="12263"/>
    <cellStyle name="t_HVAC Equipment (3)_一期景观安装工程 9" xfId="12264"/>
    <cellStyle name="t_HVAC Equipment (3)_一期景观安装工程 9 2" xfId="12265"/>
    <cellStyle name="t_HVAC Equipment (3)_一期景观安装工程 9 3" xfId="12266"/>
    <cellStyle name="t_一期景观安装工程" xfId="12267"/>
    <cellStyle name="t_一期景观安装工程 10" xfId="12268"/>
    <cellStyle name="t_一期景观安装工程 10 2" xfId="12271"/>
    <cellStyle name="t_一期景观安装工程 10 3" xfId="12274"/>
    <cellStyle name="t_一期景观安装工程 11" xfId="12275"/>
    <cellStyle name="t_一期景观安装工程 12" xfId="12278"/>
    <cellStyle name="t_一期景观安装工程 13" xfId="12281"/>
    <cellStyle name="t_一期景观安装工程 14" xfId="12284"/>
    <cellStyle name="t_一期景观安装工程 14 2" xfId="12287"/>
    <cellStyle name="t_一期景观安装工程 14 3" xfId="12290"/>
    <cellStyle name="t_一期景观安装工程 15" xfId="12291"/>
    <cellStyle name="t_一期景观安装工程 16" xfId="12295"/>
    <cellStyle name="t_一期景观安装工程 17" xfId="12297"/>
    <cellStyle name="t_一期景观安装工程 18" xfId="12299"/>
    <cellStyle name="t_一期景观安装工程 19" xfId="12300"/>
    <cellStyle name="t_一期景观安装工程 2" xfId="28"/>
    <cellStyle name="t_一期景观安装工程 2 10" xfId="3646"/>
    <cellStyle name="t_一期景观安装工程 2 10 2" xfId="4409"/>
    <cellStyle name="t_一期景观安装工程 2 10 3" xfId="4420"/>
    <cellStyle name="t_一期景观安装工程 2 2" xfId="389"/>
    <cellStyle name="t_一期景观安装工程 2 2 2" xfId="12301"/>
    <cellStyle name="t_一期景观安装工程 2 2 3" xfId="12304"/>
    <cellStyle name="t_一期景观安装工程 2 3" xfId="402"/>
    <cellStyle name="t_一期景观安装工程 2 3 2" xfId="12307"/>
    <cellStyle name="t_一期景观安装工程 2 3 3" xfId="12310"/>
    <cellStyle name="t_一期景观安装工程 2 4" xfId="11218"/>
    <cellStyle name="t_一期景观安装工程 2 4 2" xfId="12313"/>
    <cellStyle name="t_一期景观安装工程 2 4 3" xfId="12316"/>
    <cellStyle name="t_一期景观安装工程 2 5" xfId="11220"/>
    <cellStyle name="t_一期景观安装工程 2 5 2" xfId="12321"/>
    <cellStyle name="t_一期景观安装工程 2 5 3" xfId="12324"/>
    <cellStyle name="t_一期景观安装工程 2 6" xfId="12327"/>
    <cellStyle name="t_一期景观安装工程 2 6 2" xfId="12328"/>
    <cellStyle name="t_一期景观安装工程 2 6 3" xfId="12331"/>
    <cellStyle name="t_一期景观安装工程 2 7" xfId="12334"/>
    <cellStyle name="t_一期景观安装工程 2 7 2" xfId="12335"/>
    <cellStyle name="t_一期景观安装工程 2 7 3" xfId="12340"/>
    <cellStyle name="t_一期景观安装工程 2 8" xfId="12345"/>
    <cellStyle name="t_一期景观安装工程 2 8 2" xfId="12346"/>
    <cellStyle name="t_一期景观安装工程 2 8 3" xfId="12351"/>
    <cellStyle name="t_一期景观安装工程 2 9" xfId="12356"/>
    <cellStyle name="t_一期景观安装工程 2 9 2" xfId="12357"/>
    <cellStyle name="t_一期景观安装工程 2 9 3" xfId="12362"/>
    <cellStyle name="t_一期景观安装工程 20" xfId="12292"/>
    <cellStyle name="t_一期景观安装工程 21" xfId="12296"/>
    <cellStyle name="t_一期景观安装工程 22" xfId="12298"/>
    <cellStyle name="t_一期景观安装工程 3" xfId="403"/>
    <cellStyle name="t_一期景观安装工程 3 10" xfId="12367"/>
    <cellStyle name="t_一期景观安装工程 3 10 2" xfId="12368"/>
    <cellStyle name="t_一期景观安装工程 3 10 3" xfId="12369"/>
    <cellStyle name="t_一期景观安装工程 3 2" xfId="417"/>
    <cellStyle name="t_一期景观安装工程 3 2 2" xfId="12370"/>
    <cellStyle name="t_一期景观安装工程 3 2 3" xfId="12371"/>
    <cellStyle name="t_一期景观安装工程 3 3" xfId="431"/>
    <cellStyle name="t_一期景观安装工程 3 3 2" xfId="12372"/>
    <cellStyle name="t_一期景观安装工程 3 3 3" xfId="12373"/>
    <cellStyle name="t_一期景观安装工程 3 4" xfId="11243"/>
    <cellStyle name="t_一期景观安装工程 3 4 2" xfId="12374"/>
    <cellStyle name="t_一期景观安装工程 3 4 3" xfId="12375"/>
    <cellStyle name="t_一期景观安装工程 3 5" xfId="3912"/>
    <cellStyle name="t_一期景观安装工程 3 5 2" xfId="12377"/>
    <cellStyle name="t_一期景观安装工程 3 5 3" xfId="12380"/>
    <cellStyle name="t_一期景观安装工程 3 6" xfId="3916"/>
    <cellStyle name="t_一期景观安装工程 3 6 2" xfId="12382"/>
    <cellStyle name="t_一期景观安装工程 3 6 3" xfId="12384"/>
    <cellStyle name="t_一期景观安装工程 3 7" xfId="6966"/>
    <cellStyle name="t_一期景观安装工程 3 7 2" xfId="12386"/>
    <cellStyle name="t_一期景观安装工程 3 7 3" xfId="12388"/>
    <cellStyle name="t_一期景观安装工程 3 8" xfId="6969"/>
    <cellStyle name="t_一期景观安装工程 3 8 2" xfId="12390"/>
    <cellStyle name="t_一期景观安装工程 3 8 3" xfId="12392"/>
    <cellStyle name="t_一期景观安装工程 3 9" xfId="6972"/>
    <cellStyle name="t_一期景观安装工程 3 9 2" xfId="12394"/>
    <cellStyle name="t_一期景观安装工程 3 9 3" xfId="12397"/>
    <cellStyle name="t_一期景观安装工程 4" xfId="443"/>
    <cellStyle name="t_一期景观安装工程 4 2" xfId="472"/>
    <cellStyle name="t_一期景观安装工程 4 3" xfId="492"/>
    <cellStyle name="t_一期景观安装工程 5" xfId="504"/>
    <cellStyle name="t_一期景观安装工程 6" xfId="5383"/>
    <cellStyle name="t_一期景观安装工程 7" xfId="5387"/>
    <cellStyle name="t_一期景观安装工程 7 2" xfId="12400"/>
    <cellStyle name="t_一期景观安装工程 7 3" xfId="12401"/>
    <cellStyle name="t_一期景观安装工程 8" xfId="12402"/>
    <cellStyle name="t_一期景观安装工程 9" xfId="12405"/>
    <cellStyle name="t_一期景观安装工程 9 2" xfId="12408"/>
    <cellStyle name="t_一期景观安装工程 9 3" xfId="12409"/>
    <cellStyle name="百分比" xfId="24" builtinId="5"/>
    <cellStyle name="百分比 2" xfId="12410"/>
    <cellStyle name="百分比 2 10" xfId="12411"/>
    <cellStyle name="百分比 2 11" xfId="12413"/>
    <cellStyle name="百分比 2 12" xfId="12415"/>
    <cellStyle name="百分比 2 13" xfId="12417"/>
    <cellStyle name="百分比 2 14" xfId="12419"/>
    <cellStyle name="百分比 2 15" xfId="12421"/>
    <cellStyle name="百分比 2 16" xfId="12423"/>
    <cellStyle name="百分比 2 17" xfId="12425"/>
    <cellStyle name="百分比 2 18" xfId="12427"/>
    <cellStyle name="百分比 2 19" xfId="12429"/>
    <cellStyle name="百分比 2 2" xfId="12431"/>
    <cellStyle name="百分比 2 2 10" xfId="12432"/>
    <cellStyle name="百分比 2 2 2" xfId="12434"/>
    <cellStyle name="百分比 2 2 3" xfId="12376"/>
    <cellStyle name="百分比 2 2 4" xfId="12381"/>
    <cellStyle name="百分比 2 2 5" xfId="12435"/>
    <cellStyle name="百分比 2 2 6" xfId="12436"/>
    <cellStyle name="百分比 2 2 7" xfId="12437"/>
    <cellStyle name="百分比 2 2 8" xfId="12438"/>
    <cellStyle name="百分比 2 2 9" xfId="12439"/>
    <cellStyle name="百分比 2 20" xfId="12422"/>
    <cellStyle name="百分比 2 21" xfId="12424"/>
    <cellStyle name="百分比 2 22" xfId="12426"/>
    <cellStyle name="百分比 2 23" xfId="12428"/>
    <cellStyle name="百分比 2 24" xfId="12430"/>
    <cellStyle name="百分比 2 25" xfId="12440"/>
    <cellStyle name="百分比 2 26" xfId="12441"/>
    <cellStyle name="百分比 2 27" xfId="12442"/>
    <cellStyle name="百分比 2 28" xfId="12443"/>
    <cellStyle name="百分比 2 29" xfId="12444"/>
    <cellStyle name="百分比 2 3" xfId="12445"/>
    <cellStyle name="百分比 2 3 10" xfId="12446"/>
    <cellStyle name="百分比 2 3 2" xfId="12447"/>
    <cellStyle name="百分比 2 3 2 2" xfId="12448"/>
    <cellStyle name="百分比 2 3 3" xfId="12383"/>
    <cellStyle name="百分比 2 3 4" xfId="12385"/>
    <cellStyle name="百分比 2 3 5" xfId="12449"/>
    <cellStyle name="百分比 2 3 6" xfId="12451"/>
    <cellStyle name="百分比 2 3 7" xfId="12453"/>
    <cellStyle name="百分比 2 3 8" xfId="12455"/>
    <cellStyle name="百分比 2 3 9" xfId="12457"/>
    <cellStyle name="百分比 2 4" xfId="12459"/>
    <cellStyle name="百分比 2 5" xfId="12460"/>
    <cellStyle name="百分比 2 6" xfId="12463"/>
    <cellStyle name="百分比 2 7" xfId="12465"/>
    <cellStyle name="百分比 2 8" xfId="12467"/>
    <cellStyle name="百分比 2 9" xfId="12468"/>
    <cellStyle name="百分比 21" xfId="5399"/>
    <cellStyle name="百分比 3" xfId="12469"/>
    <cellStyle name="百分比 3 10" xfId="12470"/>
    <cellStyle name="百分比 3 11" xfId="12471"/>
    <cellStyle name="百分比 3 12" xfId="12474"/>
    <cellStyle name="百分比 3 13" xfId="12477"/>
    <cellStyle name="百分比 3 14" xfId="12480"/>
    <cellStyle name="百分比 3 15" xfId="12483"/>
    <cellStyle name="百分比 3 16" xfId="12487"/>
    <cellStyle name="百分比 3 17" xfId="12491"/>
    <cellStyle name="百分比 3 18" xfId="12495"/>
    <cellStyle name="百分比 3 19" xfId="12497"/>
    <cellStyle name="百分比 3 2" xfId="4493"/>
    <cellStyle name="百分比 3 2 10" xfId="12499"/>
    <cellStyle name="百分比 3 2 2" xfId="12501"/>
    <cellStyle name="百分比 3 2 3" xfId="12502"/>
    <cellStyle name="百分比 3 2 4" xfId="12505"/>
    <cellStyle name="百分比 3 2 5" xfId="12506"/>
    <cellStyle name="百分比 3 2 6" xfId="12507"/>
    <cellStyle name="百分比 3 2 7" xfId="12508"/>
    <cellStyle name="百分比 3 2 8" xfId="12509"/>
    <cellStyle name="百分比 3 2 9" xfId="12510"/>
    <cellStyle name="百分比 3 20" xfId="12484"/>
    <cellStyle name="百分比 3 21" xfId="12488"/>
    <cellStyle name="百分比 3 22" xfId="12492"/>
    <cellStyle name="百分比 3 23" xfId="12496"/>
    <cellStyle name="百分比 3 24" xfId="12498"/>
    <cellStyle name="百分比 3 25" xfId="12511"/>
    <cellStyle name="百分比 3 26" xfId="12513"/>
    <cellStyle name="百分比 3 27" xfId="12515"/>
    <cellStyle name="百分比 3 28" xfId="12517"/>
    <cellStyle name="百分比 3 29" xfId="12521"/>
    <cellStyle name="百分比 3 3" xfId="566"/>
    <cellStyle name="百分比 3 3 10" xfId="12525"/>
    <cellStyle name="百分比 3 3 11" xfId="12527"/>
    <cellStyle name="百分比 3 3 12" xfId="12529"/>
    <cellStyle name="百分比 3 3 2" xfId="12531"/>
    <cellStyle name="百分比 3 3 3" xfId="12532"/>
    <cellStyle name="百分比 3 3 4" xfId="12533"/>
    <cellStyle name="百分比 3 3 5" xfId="12534"/>
    <cellStyle name="百分比 3 3 6" xfId="12536"/>
    <cellStyle name="百分比 3 3 7" xfId="12538"/>
    <cellStyle name="百分比 3 3 8" xfId="12540"/>
    <cellStyle name="百分比 3 3 9" xfId="12542"/>
    <cellStyle name="百分比 3 30" xfId="12512"/>
    <cellStyle name="百分比 3 31" xfId="12514"/>
    <cellStyle name="百分比 3 32" xfId="12516"/>
    <cellStyle name="百分比 3 33" xfId="12518"/>
    <cellStyle name="百分比 3 34" xfId="12522"/>
    <cellStyle name="百分比 3 35" xfId="12544"/>
    <cellStyle name="百分比 3 36" xfId="12548"/>
    <cellStyle name="百分比 3 37" xfId="12552"/>
    <cellStyle name="百分比 3 38" xfId="12556"/>
    <cellStyle name="百分比 3 39" xfId="12560"/>
    <cellStyle name="百分比 3 4" xfId="574"/>
    <cellStyle name="百分比 3 40" xfId="12545"/>
    <cellStyle name="百分比 3 41" xfId="12549"/>
    <cellStyle name="百分比 3 42" xfId="12553"/>
    <cellStyle name="百分比 3 43" xfId="12557"/>
    <cellStyle name="百分比 3 44" xfId="12561"/>
    <cellStyle name="百分比 3 45" xfId="12564"/>
    <cellStyle name="百分比 3 46" xfId="12566"/>
    <cellStyle name="百分比 3 47" xfId="6140"/>
    <cellStyle name="百分比 3 48" xfId="6143"/>
    <cellStyle name="百分比 3 49" xfId="12568"/>
    <cellStyle name="百分比 3 5" xfId="6081"/>
    <cellStyle name="百分比 3 50" xfId="12565"/>
    <cellStyle name="百分比 3 51" xfId="12567"/>
    <cellStyle name="百分比 3 52" xfId="6141"/>
    <cellStyle name="百分比 3 53" xfId="6144"/>
    <cellStyle name="百分比 3 54" xfId="12569"/>
    <cellStyle name="百分比 3 55" xfId="12570"/>
    <cellStyle name="百分比 3 55 2" xfId="12572"/>
    <cellStyle name="百分比 3 55 3" xfId="12575"/>
    <cellStyle name="百分比 3 56" xfId="12578"/>
    <cellStyle name="百分比 3 56 2" xfId="12580"/>
    <cellStyle name="百分比 3 56 3" xfId="12582"/>
    <cellStyle name="百分比 3 57" xfId="12586"/>
    <cellStyle name="百分比 3 57 2" xfId="12588"/>
    <cellStyle name="百分比 3 57 3" xfId="12590"/>
    <cellStyle name="百分比 3 58" xfId="12592"/>
    <cellStyle name="百分比 3 58 2" xfId="12594"/>
    <cellStyle name="百分比 3 58 3" xfId="12595"/>
    <cellStyle name="百分比 3 59" xfId="12596"/>
    <cellStyle name="百分比 3 59 2" xfId="12598"/>
    <cellStyle name="百分比 3 59 3" xfId="12599"/>
    <cellStyle name="百分比 3 6" xfId="6086"/>
    <cellStyle name="百分比 3 60" xfId="12571"/>
    <cellStyle name="百分比 3 60 2" xfId="12573"/>
    <cellStyle name="百分比 3 60 3" xfId="12576"/>
    <cellStyle name="百分比 3 61" xfId="12579"/>
    <cellStyle name="百分比 3 61 2" xfId="12581"/>
    <cellStyle name="百分比 3 61 3" xfId="12583"/>
    <cellStyle name="百分比 3 62" xfId="12587"/>
    <cellStyle name="百分比 3 62 2" xfId="12589"/>
    <cellStyle name="百分比 3 62 3" xfId="12591"/>
    <cellStyle name="百分比 3 7" xfId="6094"/>
    <cellStyle name="百分比 3 8" xfId="6098"/>
    <cellStyle name="百分比 3 9" xfId="6102"/>
    <cellStyle name="百分比 4" xfId="12600"/>
    <cellStyle name="百分比 4 2" xfId="12601"/>
    <cellStyle name="百分比 4 2 2" xfId="12602"/>
    <cellStyle name="百分比 4 2 3" xfId="12603"/>
    <cellStyle name="百分比 4 3" xfId="12605"/>
    <cellStyle name="百分比 4 4" xfId="12606"/>
    <cellStyle name="百分比 4 5" xfId="12607"/>
    <cellStyle name="百分比 4 6" xfId="12610"/>
    <cellStyle name="百分比 4 7" xfId="12613"/>
    <cellStyle name="百分比 4 8" xfId="12616"/>
    <cellStyle name="百分比 5" xfId="12618"/>
    <cellStyle name="百分比 5 2" xfId="12619"/>
    <cellStyle name="百分比 6" xfId="12620"/>
    <cellStyle name="百分比 6 2" xfId="12621"/>
    <cellStyle name="百分比 7" xfId="12622"/>
    <cellStyle name="百分比 8" xfId="12623"/>
    <cellStyle name="百分比 9" xfId="12624"/>
    <cellStyle name="捠壿 [0.00]_Region Orders (2)" xfId="7731"/>
    <cellStyle name="捠壿_Region Orders (2)" xfId="12625"/>
    <cellStyle name="编号" xfId="12629"/>
    <cellStyle name="编号 10" xfId="12630"/>
    <cellStyle name="编号 10 2" xfId="12631"/>
    <cellStyle name="编号 10 3" xfId="12632"/>
    <cellStyle name="编号 11" xfId="12633"/>
    <cellStyle name="编号 12" xfId="12634"/>
    <cellStyle name="编号 13" xfId="12635"/>
    <cellStyle name="编号 14" xfId="12636"/>
    <cellStyle name="编号 15" xfId="5211"/>
    <cellStyle name="编号 15 2" xfId="12637"/>
    <cellStyle name="编号 15 3" xfId="12639"/>
    <cellStyle name="编号 16" xfId="3376"/>
    <cellStyle name="编号 16 2" xfId="12641"/>
    <cellStyle name="编号 16 3" xfId="12646"/>
    <cellStyle name="编号 17" xfId="12651"/>
    <cellStyle name="编号 18" xfId="12654"/>
    <cellStyle name="编号 19" xfId="12657"/>
    <cellStyle name="编号 2" xfId="12660"/>
    <cellStyle name="编号 2 10" xfId="12661"/>
    <cellStyle name="编号 2 2" xfId="12663"/>
    <cellStyle name="编号 2 3" xfId="12664"/>
    <cellStyle name="编号 2 4" xfId="12665"/>
    <cellStyle name="编号 2 5" xfId="12666"/>
    <cellStyle name="编号 2 6" xfId="12667"/>
    <cellStyle name="编号 2 7" xfId="12668"/>
    <cellStyle name="编号 2 8" xfId="12669"/>
    <cellStyle name="编号 2 9" xfId="12670"/>
    <cellStyle name="编号 20" xfId="5212"/>
    <cellStyle name="编号 21" xfId="3375"/>
    <cellStyle name="编号 21 2" xfId="12642"/>
    <cellStyle name="编号 21 3" xfId="12647"/>
    <cellStyle name="编号 22" xfId="12652"/>
    <cellStyle name="编号 23" xfId="12655"/>
    <cellStyle name="编号 24" xfId="12658"/>
    <cellStyle name="编号 25" xfId="12671"/>
    <cellStyle name="编号 26" xfId="8883"/>
    <cellStyle name="编号 27" xfId="8886"/>
    <cellStyle name="编号 28" xfId="12673"/>
    <cellStyle name="编号 29" xfId="12674"/>
    <cellStyle name="编号 3" xfId="12675"/>
    <cellStyle name="编号 3 10" xfId="9918"/>
    <cellStyle name="编号 3 2" xfId="12676"/>
    <cellStyle name="编号 3 3" xfId="12677"/>
    <cellStyle name="编号 3 4" xfId="12678"/>
    <cellStyle name="编号 3 5" xfId="12679"/>
    <cellStyle name="编号 3 6" xfId="12680"/>
    <cellStyle name="编号 3 7" xfId="12681"/>
    <cellStyle name="编号 3 8" xfId="12682"/>
    <cellStyle name="编号 3 9" xfId="12683"/>
    <cellStyle name="编号 4" xfId="12684"/>
    <cellStyle name="编号 5" xfId="12685"/>
    <cellStyle name="编号 5 2" xfId="12686"/>
    <cellStyle name="编号 5 3" xfId="12687"/>
    <cellStyle name="编号 6" xfId="12688"/>
    <cellStyle name="编号 6 2" xfId="12689"/>
    <cellStyle name="编号 6 3" xfId="12690"/>
    <cellStyle name="编号 7" xfId="12691"/>
    <cellStyle name="编号 7 2" xfId="12692"/>
    <cellStyle name="编号 7 3" xfId="12693"/>
    <cellStyle name="编号 8" xfId="12694"/>
    <cellStyle name="编号 9" xfId="12695"/>
    <cellStyle name="标题 1 10" xfId="216"/>
    <cellStyle name="标题 1 11" xfId="218"/>
    <cellStyle name="标题 1 12" xfId="222"/>
    <cellStyle name="标题 1 13" xfId="259"/>
    <cellStyle name="标题 1 14" xfId="268"/>
    <cellStyle name="标题 1 15" xfId="275"/>
    <cellStyle name="标题 1 16" xfId="284"/>
    <cellStyle name="标题 1 2" xfId="12696"/>
    <cellStyle name="标题 1 2 2" xfId="404"/>
    <cellStyle name="标题 1 3" xfId="12697"/>
    <cellStyle name="标题 1 4" xfId="12698"/>
    <cellStyle name="标题 1 5" xfId="12699"/>
    <cellStyle name="标题 1 6" xfId="12700"/>
    <cellStyle name="标题 1 7" xfId="12701"/>
    <cellStyle name="标题 1 8" xfId="12702"/>
    <cellStyle name="标题 1 9" xfId="12703"/>
    <cellStyle name="标题 10" xfId="12704"/>
    <cellStyle name="标题 11" xfId="12705"/>
    <cellStyle name="标题 12" xfId="12706"/>
    <cellStyle name="标题 13" xfId="12707"/>
    <cellStyle name="标题 14" xfId="12708"/>
    <cellStyle name="标题 15" xfId="12709"/>
    <cellStyle name="标题 16" xfId="12710"/>
    <cellStyle name="标题 17" xfId="12713"/>
    <cellStyle name="标题 18" xfId="12718"/>
    <cellStyle name="标题 19" xfId="12721"/>
    <cellStyle name="标题 2 10" xfId="12726"/>
    <cellStyle name="标题 2 11" xfId="12727"/>
    <cellStyle name="标题 2 12" xfId="12728"/>
    <cellStyle name="标题 2 13" xfId="12729"/>
    <cellStyle name="标题 2 14" xfId="12730"/>
    <cellStyle name="标题 2 15" xfId="12732"/>
    <cellStyle name="标题 2 16" xfId="12734"/>
    <cellStyle name="标题 2 2" xfId="12736"/>
    <cellStyle name="标题 2 2 2" xfId="12739"/>
    <cellStyle name="标题 2 3" xfId="12742"/>
    <cellStyle name="标题 2 4" xfId="12743"/>
    <cellStyle name="标题 2 5" xfId="12744"/>
    <cellStyle name="标题 2 6" xfId="12745"/>
    <cellStyle name="标题 2 7" xfId="12746"/>
    <cellStyle name="标题 2 8" xfId="12747"/>
    <cellStyle name="标题 2 9" xfId="12748"/>
    <cellStyle name="标题 3 10" xfId="8851"/>
    <cellStyle name="标题 3 11" xfId="8853"/>
    <cellStyle name="标题 3 12" xfId="12749"/>
    <cellStyle name="标题 3 13" xfId="12750"/>
    <cellStyle name="标题 3 14" xfId="12751"/>
    <cellStyle name="标题 3 15" xfId="12752"/>
    <cellStyle name="标题 3 16" xfId="12753"/>
    <cellStyle name="标题 3 2" xfId="12754"/>
    <cellStyle name="标题 3 2 2" xfId="12755"/>
    <cellStyle name="标题 3 3" xfId="12758"/>
    <cellStyle name="标题 3 4" xfId="12759"/>
    <cellStyle name="标题 3 5" xfId="12760"/>
    <cellStyle name="标题 3 6" xfId="12761"/>
    <cellStyle name="标题 3 7" xfId="12762"/>
    <cellStyle name="标题 3 8" xfId="12763"/>
    <cellStyle name="标题 3 9" xfId="12764"/>
    <cellStyle name="标题 4 10" xfId="12765"/>
    <cellStyle name="标题 4 11" xfId="12766"/>
    <cellStyle name="标题 4 12" xfId="12767"/>
    <cellStyle name="标题 4 13" xfId="12770"/>
    <cellStyle name="标题 4 14" xfId="12773"/>
    <cellStyle name="标题 4 15" xfId="12776"/>
    <cellStyle name="标题 4 16" xfId="12779"/>
    <cellStyle name="标题 4 2" xfId="12782"/>
    <cellStyle name="标题 4 2 2" xfId="12785"/>
    <cellStyle name="标题 4 3" xfId="12788"/>
    <cellStyle name="标题 4 4" xfId="12791"/>
    <cellStyle name="标题 4 5" xfId="12793"/>
    <cellStyle name="标题 4 6" xfId="12795"/>
    <cellStyle name="标题 4 7" xfId="12797"/>
    <cellStyle name="标题 4 8" xfId="12799"/>
    <cellStyle name="标题 4 9" xfId="12801"/>
    <cellStyle name="标题 5" xfId="12803"/>
    <cellStyle name="标题 5 2" xfId="12804"/>
    <cellStyle name="标题 6" xfId="12807"/>
    <cellStyle name="标题 7" xfId="12808"/>
    <cellStyle name="标题 8" xfId="3747"/>
    <cellStyle name="标题 9" xfId="6087"/>
    <cellStyle name="标题1" xfId="817"/>
    <cellStyle name="标题1 10" xfId="8122"/>
    <cellStyle name="标题1 11" xfId="8167"/>
    <cellStyle name="标题1 12" xfId="8171"/>
    <cellStyle name="标题1 13" xfId="8176"/>
    <cellStyle name="标题1 14" xfId="8180"/>
    <cellStyle name="标题1 15" xfId="8184"/>
    <cellStyle name="标题1 16" xfId="7022"/>
    <cellStyle name="标题1 17" xfId="7026"/>
    <cellStyle name="标题1 18" xfId="7030"/>
    <cellStyle name="标题1 19" xfId="153"/>
    <cellStyle name="标题1 2" xfId="12811"/>
    <cellStyle name="标题1 2 10" xfId="12812"/>
    <cellStyle name="标题1 2 2" xfId="12815"/>
    <cellStyle name="标题1 2 3" xfId="12817"/>
    <cellStyle name="标题1 2 4" xfId="12821"/>
    <cellStyle name="标题1 2 5" xfId="12825"/>
    <cellStyle name="标题1 2 6" xfId="12829"/>
    <cellStyle name="标题1 2 7" xfId="12832"/>
    <cellStyle name="标题1 2 8" xfId="12835"/>
    <cellStyle name="标题1 2 9" xfId="12838"/>
    <cellStyle name="标题1 20" xfId="8185"/>
    <cellStyle name="标题1 21" xfId="7023"/>
    <cellStyle name="标题1 22" xfId="7027"/>
    <cellStyle name="标题1 23" xfId="7031"/>
    <cellStyle name="标题1 24" xfId="154"/>
    <cellStyle name="标题1 25" xfId="122"/>
    <cellStyle name="标题1 26" xfId="182"/>
    <cellStyle name="标题1 27" xfId="186"/>
    <cellStyle name="标题1 28" xfId="193"/>
    <cellStyle name="标题1 29" xfId="12841"/>
    <cellStyle name="标题1 3" xfId="12843"/>
    <cellStyle name="标题1 3 10" xfId="12844"/>
    <cellStyle name="标题1 3 2" xfId="12846"/>
    <cellStyle name="标题1 3 3" xfId="12849"/>
    <cellStyle name="标题1 3 4" xfId="12855"/>
    <cellStyle name="标题1 3 5" xfId="12861"/>
    <cellStyle name="标题1 3 6" xfId="12867"/>
    <cellStyle name="标题1 3 7" xfId="8220"/>
    <cellStyle name="标题1 3 8" xfId="8226"/>
    <cellStyle name="标题1 3 9" xfId="12872"/>
    <cellStyle name="标题1 30" xfId="123"/>
    <cellStyle name="标题1 31" xfId="183"/>
    <cellStyle name="标题1 32" xfId="187"/>
    <cellStyle name="标题1 33" xfId="194"/>
    <cellStyle name="标题1 34" xfId="12842"/>
    <cellStyle name="标题1 35" xfId="12877"/>
    <cellStyle name="标题1 36" xfId="12878"/>
    <cellStyle name="标题1 37" xfId="12879"/>
    <cellStyle name="标题1 4" xfId="12880"/>
    <cellStyle name="标题1 5" xfId="12881"/>
    <cellStyle name="标题1 6" xfId="12882"/>
    <cellStyle name="标题1 7" xfId="12574"/>
    <cellStyle name="标题1 8" xfId="12577"/>
    <cellStyle name="标题1 9" xfId="12883"/>
    <cellStyle name="表体数字" xfId="12884"/>
    <cellStyle name="表体数字 10" xfId="5975"/>
    <cellStyle name="表体数字 10 10" xfId="12885"/>
    <cellStyle name="表体数字 10 2" xfId="12886"/>
    <cellStyle name="表体数字 10 2 2" xfId="12889"/>
    <cellStyle name="表体数字 10 2 3" xfId="12890"/>
    <cellStyle name="表体数字 10 2 4" xfId="12891"/>
    <cellStyle name="表体数字 10 2 5" xfId="12892"/>
    <cellStyle name="表体数字 10 2 6" xfId="12893"/>
    <cellStyle name="表体数字 10 2 7" xfId="12894"/>
    <cellStyle name="表体数字 10 2 8" xfId="12895"/>
    <cellStyle name="表体数字 10 3" xfId="12896"/>
    <cellStyle name="表体数字 10 3 2" xfId="12899"/>
    <cellStyle name="表体数字 10 3 3" xfId="12900"/>
    <cellStyle name="表体数字 10 3 4" xfId="12901"/>
    <cellStyle name="表体数字 10 3 5" xfId="12902"/>
    <cellStyle name="表体数字 10 3 6" xfId="12903"/>
    <cellStyle name="表体数字 10 3 7" xfId="12904"/>
    <cellStyle name="表体数字 10 3 8" xfId="12905"/>
    <cellStyle name="表体数字 10 4" xfId="4671"/>
    <cellStyle name="表体数字 10 5" xfId="4676"/>
    <cellStyle name="表体数字 10 6" xfId="8706"/>
    <cellStyle name="表体数字 10 7" xfId="12906"/>
    <cellStyle name="表体数字 10 8" xfId="12907"/>
    <cellStyle name="表体数字 10 9" xfId="12908"/>
    <cellStyle name="表体数字 11" xfId="6004"/>
    <cellStyle name="表体数字 11 10" xfId="12911"/>
    <cellStyle name="表体数字 11 2" xfId="12915"/>
    <cellStyle name="表体数字 11 2 2" xfId="12918"/>
    <cellStyle name="表体数字 11 2 3" xfId="12919"/>
    <cellStyle name="表体数字 11 2 4" xfId="12920"/>
    <cellStyle name="表体数字 11 2 5" xfId="12921"/>
    <cellStyle name="表体数字 11 2 6" xfId="12922"/>
    <cellStyle name="表体数字 11 2 7" xfId="12923"/>
    <cellStyle name="表体数字 11 2 8" xfId="12924"/>
    <cellStyle name="表体数字 11 3" xfId="12925"/>
    <cellStyle name="表体数字 11 3 2" xfId="12928"/>
    <cellStyle name="表体数字 11 3 3" xfId="12929"/>
    <cellStyle name="表体数字 11 3 4" xfId="12930"/>
    <cellStyle name="表体数字 11 3 5" xfId="12931"/>
    <cellStyle name="表体数字 11 3 6" xfId="311"/>
    <cellStyle name="表体数字 11 3 7" xfId="526"/>
    <cellStyle name="表体数字 11 3 8" xfId="12932"/>
    <cellStyle name="表体数字 11 4" xfId="12933"/>
    <cellStyle name="表体数字 11 5" xfId="6916"/>
    <cellStyle name="表体数字 11 6" xfId="12936"/>
    <cellStyle name="表体数字 11 7" xfId="12938"/>
    <cellStyle name="表体数字 11 8" xfId="12939"/>
    <cellStyle name="表体数字 11 9" xfId="12940"/>
    <cellStyle name="表体数字 12" xfId="1581"/>
    <cellStyle name="表体数字 12 10" xfId="12943"/>
    <cellStyle name="表体数字 12 2" xfId="12944"/>
    <cellStyle name="表体数字 12 2 2" xfId="12947"/>
    <cellStyle name="表体数字 12 2 3" xfId="12949"/>
    <cellStyle name="表体数字 12 2 4" xfId="12950"/>
    <cellStyle name="表体数字 12 2 5" xfId="12953"/>
    <cellStyle name="表体数字 12 2 6" xfId="12956"/>
    <cellStyle name="表体数字 12 2 7" xfId="12959"/>
    <cellStyle name="表体数字 12 2 8" xfId="12962"/>
    <cellStyle name="表体数字 12 3" xfId="12965"/>
    <cellStyle name="表体数字 12 3 2" xfId="11602"/>
    <cellStyle name="表体数字 12 3 3" xfId="12968"/>
    <cellStyle name="表体数字 12 3 4" xfId="12969"/>
    <cellStyle name="表体数字 12 3 5" xfId="12972"/>
    <cellStyle name="表体数字 12 3 6" xfId="12975"/>
    <cellStyle name="表体数字 12 3 7" xfId="12978"/>
    <cellStyle name="表体数字 12 3 8" xfId="12981"/>
    <cellStyle name="表体数字 12 4" xfId="12984"/>
    <cellStyle name="表体数字 12 5" xfId="12987"/>
    <cellStyle name="表体数字 12 6" xfId="12990"/>
    <cellStyle name="表体数字 12 7" xfId="12991"/>
    <cellStyle name="表体数字 12 8" xfId="12992"/>
    <cellStyle name="表体数字 12 9" xfId="4221"/>
    <cellStyle name="表体数字 13" xfId="1588"/>
    <cellStyle name="表体数字 13 10" xfId="12994"/>
    <cellStyle name="表体数字 13 2" xfId="12995"/>
    <cellStyle name="表体数字 13 2 2" xfId="12998"/>
    <cellStyle name="表体数字 13 2 3" xfId="13003"/>
    <cellStyle name="表体数字 13 2 4" xfId="13006"/>
    <cellStyle name="表体数字 13 2 5" xfId="13009"/>
    <cellStyle name="表体数字 13 2 6" xfId="6237"/>
    <cellStyle name="表体数字 13 2 7" xfId="6243"/>
    <cellStyle name="表体数字 13 2 8" xfId="13013"/>
    <cellStyle name="表体数字 13 3" xfId="13016"/>
    <cellStyle name="表体数字 13 3 2" xfId="13019"/>
    <cellStyle name="表体数字 13 3 3" xfId="13023"/>
    <cellStyle name="表体数字 13 3 4" xfId="13026"/>
    <cellStyle name="表体数字 13 3 5" xfId="13029"/>
    <cellStyle name="表体数字 13 3 6" xfId="3447"/>
    <cellStyle name="表体数字 13 3 7" xfId="3452"/>
    <cellStyle name="表体数字 13 3 8" xfId="13033"/>
    <cellStyle name="表体数字 13 4" xfId="13036"/>
    <cellStyle name="表体数字 13 5" xfId="13039"/>
    <cellStyle name="表体数字 13 6" xfId="13042"/>
    <cellStyle name="表体数字 13 7" xfId="13043"/>
    <cellStyle name="表体数字 13 8" xfId="13044"/>
    <cellStyle name="表体数字 13 9" xfId="453"/>
    <cellStyle name="表体数字 14" xfId="6013"/>
    <cellStyle name="表体数字 14 10" xfId="13045"/>
    <cellStyle name="表体数字 14 2" xfId="13046"/>
    <cellStyle name="表体数字 14 2 2" xfId="13049"/>
    <cellStyle name="表体数字 14 2 3" xfId="13050"/>
    <cellStyle name="表体数字 14 2 4" xfId="13051"/>
    <cellStyle name="表体数字 14 2 5" xfId="13052"/>
    <cellStyle name="表体数字 14 2 6" xfId="6290"/>
    <cellStyle name="表体数字 14 2 7" xfId="6292"/>
    <cellStyle name="表体数字 14 2 8" xfId="13053"/>
    <cellStyle name="表体数字 14 3" xfId="13054"/>
    <cellStyle name="表体数字 14 3 2" xfId="13057"/>
    <cellStyle name="表体数字 14 3 3" xfId="13058"/>
    <cellStyle name="表体数字 14 3 4" xfId="13059"/>
    <cellStyle name="表体数字 14 3 5" xfId="13060"/>
    <cellStyle name="表体数字 14 3 6" xfId="13061"/>
    <cellStyle name="表体数字 14 3 7" xfId="13062"/>
    <cellStyle name="表体数字 14 3 8" xfId="13063"/>
    <cellStyle name="表体数字 14 4" xfId="13064"/>
    <cellStyle name="表体数字 14 5" xfId="13067"/>
    <cellStyle name="表体数字 14 6" xfId="13070"/>
    <cellStyle name="表体数字 14 7" xfId="6344"/>
    <cellStyle name="表体数字 14 8" xfId="6351"/>
    <cellStyle name="表体数字 14 9" xfId="6355"/>
    <cellStyle name="表体数字 15" xfId="6018"/>
    <cellStyle name="表体数字 15 10" xfId="13071"/>
    <cellStyle name="表体数字 15 2" xfId="13073"/>
    <cellStyle name="表体数字 15 2 2" xfId="13077"/>
    <cellStyle name="表体数字 15 2 3" xfId="9922"/>
    <cellStyle name="表体数字 15 2 4" xfId="13079"/>
    <cellStyle name="表体数字 15 2 5" xfId="13081"/>
    <cellStyle name="表体数字 15 2 6" xfId="13083"/>
    <cellStyle name="表体数字 15 2 7" xfId="13085"/>
    <cellStyle name="表体数字 15 2 8" xfId="13087"/>
    <cellStyle name="表体数字 15 3" xfId="13089"/>
    <cellStyle name="表体数字 15 3 2" xfId="13093"/>
    <cellStyle name="表体数字 15 3 3" xfId="13095"/>
    <cellStyle name="表体数字 15 3 4" xfId="13097"/>
    <cellStyle name="表体数字 15 3 5" xfId="13099"/>
    <cellStyle name="表体数字 15 3 6" xfId="13101"/>
    <cellStyle name="表体数字 15 3 7" xfId="13103"/>
    <cellStyle name="表体数字 15 3 8" xfId="13105"/>
    <cellStyle name="表体数字 15 4" xfId="13107"/>
    <cellStyle name="表体数字 15 5" xfId="13111"/>
    <cellStyle name="表体数字 15 6" xfId="13115"/>
    <cellStyle name="表体数字 15 7" xfId="6379"/>
    <cellStyle name="表体数字 15 8" xfId="6617"/>
    <cellStyle name="表体数字 15 9" xfId="6621"/>
    <cellStyle name="表体数字 16" xfId="6024"/>
    <cellStyle name="表体数字 16 10" xfId="13117"/>
    <cellStyle name="表体数字 16 2" xfId="13122"/>
    <cellStyle name="表体数字 16 2 2" xfId="13126"/>
    <cellStyle name="表体数字 16 2 3" xfId="13130"/>
    <cellStyle name="表体数字 16 2 4" xfId="13134"/>
    <cellStyle name="表体数字 16 2 5" xfId="13138"/>
    <cellStyle name="表体数字 16 2 6" xfId="13142"/>
    <cellStyle name="表体数字 16 2 7" xfId="13146"/>
    <cellStyle name="表体数字 16 2 8" xfId="13150"/>
    <cellStyle name="表体数字 16 3" xfId="13154"/>
    <cellStyle name="表体数字 16 3 2" xfId="13158"/>
    <cellStyle name="表体数字 16 3 3" xfId="13160"/>
    <cellStyle name="表体数字 16 3 4" xfId="13162"/>
    <cellStyle name="表体数字 16 3 5" xfId="13164"/>
    <cellStyle name="表体数字 16 3 6" xfId="13166"/>
    <cellStyle name="表体数字 16 3 7" xfId="13168"/>
    <cellStyle name="表体数字 16 3 8" xfId="13170"/>
    <cellStyle name="表体数字 16 4" xfId="13172"/>
    <cellStyle name="表体数字 16 5" xfId="13176"/>
    <cellStyle name="表体数字 16 6" xfId="13180"/>
    <cellStyle name="表体数字 16 7" xfId="6642"/>
    <cellStyle name="表体数字 16 8" xfId="6645"/>
    <cellStyle name="表体数字 16 9" xfId="13183"/>
    <cellStyle name="表体数字 17" xfId="13185"/>
    <cellStyle name="表体数字 17 10" xfId="13187"/>
    <cellStyle name="表体数字 17 2" xfId="13189"/>
    <cellStyle name="表体数字 17 2 2" xfId="13193"/>
    <cellStyle name="表体数字 17 2 3" xfId="5809"/>
    <cellStyle name="表体数字 17 2 4" xfId="5813"/>
    <cellStyle name="表体数字 17 2 5" xfId="5818"/>
    <cellStyle name="表体数字 17 2 6" xfId="2045"/>
    <cellStyle name="表体数字 17 2 7" xfId="2056"/>
    <cellStyle name="表体数字 17 2 8" xfId="5822"/>
    <cellStyle name="表体数字 17 3" xfId="13195"/>
    <cellStyle name="表体数字 17 3 2" xfId="7748"/>
    <cellStyle name="表体数字 17 3 3" xfId="7762"/>
    <cellStyle name="表体数字 17 3 4" xfId="7777"/>
    <cellStyle name="表体数字 17 3 5" xfId="7789"/>
    <cellStyle name="表体数字 17 3 6" xfId="7799"/>
    <cellStyle name="表体数字 17 3 7" xfId="7805"/>
    <cellStyle name="表体数字 17 3 8" xfId="7820"/>
    <cellStyle name="表体数字 17 4" xfId="13199"/>
    <cellStyle name="表体数字 17 5" xfId="13203"/>
    <cellStyle name="表体数字 17 6" xfId="13207"/>
    <cellStyle name="表体数字 17 7" xfId="13209"/>
    <cellStyle name="表体数字 17 8" xfId="13211"/>
    <cellStyle name="表体数字 17 9" xfId="6402"/>
    <cellStyle name="表体数字 18" xfId="13213"/>
    <cellStyle name="表体数字 18 10" xfId="13215"/>
    <cellStyle name="表体数字 18 2" xfId="13217"/>
    <cellStyle name="表体数字 18 2 2" xfId="13221"/>
    <cellStyle name="表体数字 18 2 3" xfId="13223"/>
    <cellStyle name="表体数字 18 2 4" xfId="13225"/>
    <cellStyle name="表体数字 18 2 5" xfId="13227"/>
    <cellStyle name="表体数字 18 2 6" xfId="13229"/>
    <cellStyle name="表体数字 18 2 7" xfId="13231"/>
    <cellStyle name="表体数字 18 2 8" xfId="13233"/>
    <cellStyle name="表体数字 18 3" xfId="13235"/>
    <cellStyle name="表体数字 18 3 2" xfId="13239"/>
    <cellStyle name="表体数字 18 3 3" xfId="13241"/>
    <cellStyle name="表体数字 18 3 4" xfId="13243"/>
    <cellStyle name="表体数字 18 3 5" xfId="13245"/>
    <cellStyle name="表体数字 18 3 6" xfId="13247"/>
    <cellStyle name="表体数字 18 3 7" xfId="13249"/>
    <cellStyle name="表体数字 18 3 8" xfId="13251"/>
    <cellStyle name="表体数字 18 4" xfId="13253"/>
    <cellStyle name="表体数字 18 5" xfId="13257"/>
    <cellStyle name="表体数字 18 6" xfId="13261"/>
    <cellStyle name="表体数字 18 7" xfId="13264"/>
    <cellStyle name="表体数字 18 8" xfId="13267"/>
    <cellStyle name="表体数字 18 9" xfId="13270"/>
    <cellStyle name="表体数字 19" xfId="13273"/>
    <cellStyle name="表体数字 19 10" xfId="13275"/>
    <cellStyle name="表体数字 19 2" xfId="13277"/>
    <cellStyle name="表体数字 19 2 2" xfId="13281"/>
    <cellStyle name="表体数字 19 2 3" xfId="13283"/>
    <cellStyle name="表体数字 19 2 4" xfId="13285"/>
    <cellStyle name="表体数字 19 2 5" xfId="13287"/>
    <cellStyle name="表体数字 19 2 6" xfId="13289"/>
    <cellStyle name="表体数字 19 2 7" xfId="13291"/>
    <cellStyle name="表体数字 19 2 8" xfId="13293"/>
    <cellStyle name="表体数字 19 3" xfId="13295"/>
    <cellStyle name="表体数字 19 3 2" xfId="13299"/>
    <cellStyle name="表体数字 19 3 3" xfId="13301"/>
    <cellStyle name="表体数字 19 3 4" xfId="13303"/>
    <cellStyle name="表体数字 19 3 5" xfId="13305"/>
    <cellStyle name="表体数字 19 3 6" xfId="13307"/>
    <cellStyle name="表体数字 19 3 7" xfId="13309"/>
    <cellStyle name="表体数字 19 3 8" xfId="13311"/>
    <cellStyle name="表体数字 19 4" xfId="13313"/>
    <cellStyle name="表体数字 19 5" xfId="13317"/>
    <cellStyle name="表体数字 19 6" xfId="13321"/>
    <cellStyle name="表体数字 19 7" xfId="6656"/>
    <cellStyle name="表体数字 19 8" xfId="6660"/>
    <cellStyle name="表体数字 19 9" xfId="13324"/>
    <cellStyle name="表体数字 2" xfId="13327"/>
    <cellStyle name="表体数字 2 10" xfId="13330"/>
    <cellStyle name="表体数字 2 10 10" xfId="13331"/>
    <cellStyle name="表体数字 2 10 2" xfId="13332"/>
    <cellStyle name="表体数字 2 10 2 2" xfId="13333"/>
    <cellStyle name="表体数字 2 10 2 3" xfId="2938"/>
    <cellStyle name="表体数字 2 10 2 4" xfId="13336"/>
    <cellStyle name="表体数字 2 10 2 5" xfId="13341"/>
    <cellStyle name="表体数字 2 10 2 6" xfId="13344"/>
    <cellStyle name="表体数字 2 10 2 7" xfId="13347"/>
    <cellStyle name="表体数字 2 10 2 8" xfId="13350"/>
    <cellStyle name="表体数字 2 10 3" xfId="10242"/>
    <cellStyle name="表体数字 2 10 3 2" xfId="3479"/>
    <cellStyle name="表体数字 2 10 3 3" xfId="10245"/>
    <cellStyle name="表体数字 2 10 3 4" xfId="10252"/>
    <cellStyle name="表体数字 2 10 3 5" xfId="10259"/>
    <cellStyle name="表体数字 2 10 3 6" xfId="10264"/>
    <cellStyle name="表体数字 2 10 3 7" xfId="10269"/>
    <cellStyle name="表体数字 2 10 3 8" xfId="10274"/>
    <cellStyle name="表体数字 2 10 4" xfId="10281"/>
    <cellStyle name="表体数字 2 10 5" xfId="10310"/>
    <cellStyle name="表体数字 2 10 6" xfId="10313"/>
    <cellStyle name="表体数字 2 10 7" xfId="10316"/>
    <cellStyle name="表体数字 2 10 8" xfId="10319"/>
    <cellStyle name="表体数字 2 10 9" xfId="10322"/>
    <cellStyle name="表体数字 2 11" xfId="13357"/>
    <cellStyle name="表体数字 2 11 10" xfId="13358"/>
    <cellStyle name="表体数字 2 11 2" xfId="13359"/>
    <cellStyle name="表体数字 2 11 2 2" xfId="7756"/>
    <cellStyle name="表体数字 2 11 2 3" xfId="13360"/>
    <cellStyle name="表体数字 2 11 2 4" xfId="13363"/>
    <cellStyle name="表体数字 2 11 2 5" xfId="13367"/>
    <cellStyle name="表体数字 2 11 2 6" xfId="13368"/>
    <cellStyle name="表体数字 2 11 2 7" xfId="13369"/>
    <cellStyle name="表体数字 2 11 2 8" xfId="13370"/>
    <cellStyle name="表体数字 2 11 3" xfId="10331"/>
    <cellStyle name="表体数字 2 11 3 2" xfId="7772"/>
    <cellStyle name="表体数字 2 11 3 3" xfId="10334"/>
    <cellStyle name="表体数字 2 11 3 4" xfId="10339"/>
    <cellStyle name="表体数字 2 11 3 5" xfId="10344"/>
    <cellStyle name="表体数字 2 11 3 6" xfId="10347"/>
    <cellStyle name="表体数字 2 11 3 7" xfId="10350"/>
    <cellStyle name="表体数字 2 11 3 8" xfId="10353"/>
    <cellStyle name="表体数字 2 11 4" xfId="10356"/>
    <cellStyle name="表体数字 2 11 5" xfId="10372"/>
    <cellStyle name="表体数字 2 11 6" xfId="10375"/>
    <cellStyle name="表体数字 2 11 7" xfId="10378"/>
    <cellStyle name="表体数字 2 11 8" xfId="10381"/>
    <cellStyle name="表体数字 2 11 9" xfId="10384"/>
    <cellStyle name="表体数字 2 12" xfId="13372"/>
    <cellStyle name="表体数字 2 12 10" xfId="13373"/>
    <cellStyle name="表体数字 2 12 2" xfId="13374"/>
    <cellStyle name="表体数字 2 12 2 2" xfId="13375"/>
    <cellStyle name="表体数字 2 12 2 3" xfId="13378"/>
    <cellStyle name="表体数字 2 12 2 4" xfId="13381"/>
    <cellStyle name="表体数字 2 12 2 5" xfId="13386"/>
    <cellStyle name="表体数字 2 12 2 6" xfId="13387"/>
    <cellStyle name="表体数字 2 12 2 7" xfId="13388"/>
    <cellStyle name="表体数字 2 12 2 8" xfId="13389"/>
    <cellStyle name="表体数字 2 12 3" xfId="10737"/>
    <cellStyle name="表体数字 2 12 3 2" xfId="10739"/>
    <cellStyle name="表体数字 2 12 3 3" xfId="10743"/>
    <cellStyle name="表体数字 2 12 3 4" xfId="10747"/>
    <cellStyle name="表体数字 2 12 3 5" xfId="10751"/>
    <cellStyle name="表体数字 2 12 3 6" xfId="10753"/>
    <cellStyle name="表体数字 2 12 3 7" xfId="10755"/>
    <cellStyle name="表体数字 2 12 3 8" xfId="10757"/>
    <cellStyle name="表体数字 2 12 4" xfId="10760"/>
    <cellStyle name="表体数字 2 12 5" xfId="10772"/>
    <cellStyle name="表体数字 2 12 6" xfId="10775"/>
    <cellStyle name="表体数字 2 12 7" xfId="10778"/>
    <cellStyle name="表体数字 2 12 8" xfId="10781"/>
    <cellStyle name="表体数字 2 12 9" xfId="10784"/>
    <cellStyle name="表体数字 2 13" xfId="13390"/>
    <cellStyle name="表体数字 2 13 10" xfId="13391"/>
    <cellStyle name="表体数字 2 13 2" xfId="13392"/>
    <cellStyle name="表体数字 2 13 2 2" xfId="13395"/>
    <cellStyle name="表体数字 2 13 2 3" xfId="13398"/>
    <cellStyle name="表体数字 2 13 2 4" xfId="13401"/>
    <cellStyle name="表体数字 2 13 2 5" xfId="4105"/>
    <cellStyle name="表体数字 2 13 2 6" xfId="13406"/>
    <cellStyle name="表体数字 2 13 2 7" xfId="13407"/>
    <cellStyle name="表体数字 2 13 2 8" xfId="13408"/>
    <cellStyle name="表体数字 2 13 3" xfId="10789"/>
    <cellStyle name="表体数字 2 13 3 2" xfId="10793"/>
    <cellStyle name="表体数字 2 13 3 3" xfId="10797"/>
    <cellStyle name="表体数字 2 13 3 4" xfId="10801"/>
    <cellStyle name="表体数字 2 13 3 5" xfId="10805"/>
    <cellStyle name="表体数字 2 13 3 6" xfId="10807"/>
    <cellStyle name="表体数字 2 13 3 7" xfId="10809"/>
    <cellStyle name="表体数字 2 13 3 8" xfId="10811"/>
    <cellStyle name="表体数字 2 13 4" xfId="10814"/>
    <cellStyle name="表体数字 2 13 5" xfId="10829"/>
    <cellStyle name="表体数字 2 13 6" xfId="10834"/>
    <cellStyle name="表体数字 2 13 7" xfId="10837"/>
    <cellStyle name="表体数字 2 13 8" xfId="10840"/>
    <cellStyle name="表体数字 2 13 9" xfId="10843"/>
    <cellStyle name="表体数字 2 14" xfId="13409"/>
    <cellStyle name="表体数字 2 14 10" xfId="11371"/>
    <cellStyle name="表体数字 2 14 2" xfId="13410"/>
    <cellStyle name="表体数字 2 14 2 2" xfId="13413"/>
    <cellStyle name="表体数字 2 14 2 3" xfId="13418"/>
    <cellStyle name="表体数字 2 14 2 4" xfId="13421"/>
    <cellStyle name="表体数字 2 14 2 5" xfId="13426"/>
    <cellStyle name="表体数字 2 14 2 6" xfId="13427"/>
    <cellStyle name="表体数字 2 14 2 7" xfId="13428"/>
    <cellStyle name="表体数字 2 14 2 8" xfId="13429"/>
    <cellStyle name="表体数字 2 14 3" xfId="10851"/>
    <cellStyle name="表体数字 2 14 3 2" xfId="10855"/>
    <cellStyle name="表体数字 2 14 3 3" xfId="10861"/>
    <cellStyle name="表体数字 2 14 3 4" xfId="10865"/>
    <cellStyle name="表体数字 2 14 3 5" xfId="10869"/>
    <cellStyle name="表体数字 2 14 3 6" xfId="10871"/>
    <cellStyle name="表体数字 2 14 3 7" xfId="10873"/>
    <cellStyle name="表体数字 2 14 3 8" xfId="10875"/>
    <cellStyle name="表体数字 2 14 4" xfId="10877"/>
    <cellStyle name="表体数字 2 14 5" xfId="10895"/>
    <cellStyle name="表体数字 2 14 6" xfId="10899"/>
    <cellStyle name="表体数字 2 14 7" xfId="10901"/>
    <cellStyle name="表体数字 2 14 8" xfId="10903"/>
    <cellStyle name="表体数字 2 14 9" xfId="10905"/>
    <cellStyle name="表体数字 2 15" xfId="13430"/>
    <cellStyle name="表体数字 2 15 10" xfId="13432"/>
    <cellStyle name="表体数字 2 15 2" xfId="13434"/>
    <cellStyle name="表体数字 2 15 2 2" xfId="13436"/>
    <cellStyle name="表体数字 2 15 2 3" xfId="13441"/>
    <cellStyle name="表体数字 2 15 2 4" xfId="13445"/>
    <cellStyle name="表体数字 2 15 2 5" xfId="13451"/>
    <cellStyle name="表体数字 2 15 2 6" xfId="13453"/>
    <cellStyle name="表体数字 2 15 2 7" xfId="13455"/>
    <cellStyle name="表体数字 2 15 2 8" xfId="7579"/>
    <cellStyle name="表体数字 2 15 3" xfId="10915"/>
    <cellStyle name="表体数字 2 15 3 2" xfId="10918"/>
    <cellStyle name="表体数字 2 15 3 3" xfId="10924"/>
    <cellStyle name="表体数字 2 15 3 4" xfId="8832"/>
    <cellStyle name="表体数字 2 15 3 5" xfId="8840"/>
    <cellStyle name="表体数字 2 15 3 6" xfId="8844"/>
    <cellStyle name="表体数字 2 15 3 7" xfId="8848"/>
    <cellStyle name="表体数字 2 15 3 8" xfId="7586"/>
    <cellStyle name="表体数字 2 15 4" xfId="10929"/>
    <cellStyle name="表体数字 2 15 5" xfId="10942"/>
    <cellStyle name="表体数字 2 15 6" xfId="10945"/>
    <cellStyle name="表体数字 2 15 7" xfId="10948"/>
    <cellStyle name="表体数字 2 15 8" xfId="10951"/>
    <cellStyle name="表体数字 2 15 9" xfId="10954"/>
    <cellStyle name="表体数字 2 16" xfId="13457"/>
    <cellStyle name="表体数字 2 16 10" xfId="13459"/>
    <cellStyle name="表体数字 2 16 2" xfId="13461"/>
    <cellStyle name="表体数字 2 16 2 2" xfId="13463"/>
    <cellStyle name="表体数字 2 16 2 3" xfId="13467"/>
    <cellStyle name="表体数字 2 16 2 4" xfId="13471"/>
    <cellStyle name="表体数字 2 16 2 5" xfId="13477"/>
    <cellStyle name="表体数字 2 16 2 6" xfId="13479"/>
    <cellStyle name="表体数字 2 16 2 7" xfId="13481"/>
    <cellStyle name="表体数字 2 16 2 8" xfId="7978"/>
    <cellStyle name="表体数字 2 16 3" xfId="10965"/>
    <cellStyle name="表体数字 2 16 3 2" xfId="10968"/>
    <cellStyle name="表体数字 2 16 3 3" xfId="10973"/>
    <cellStyle name="表体数字 2 16 3 4" xfId="10978"/>
    <cellStyle name="表体数字 2 16 3 5" xfId="10983"/>
    <cellStyle name="表体数字 2 16 3 6" xfId="4849"/>
    <cellStyle name="表体数字 2 16 3 7" xfId="10986"/>
    <cellStyle name="表体数字 2 16 3 8" xfId="7987"/>
    <cellStyle name="表体数字 2 16 4" xfId="10989"/>
    <cellStyle name="表体数字 2 16 5" xfId="10994"/>
    <cellStyle name="表体数字 2 16 6" xfId="10997"/>
    <cellStyle name="表体数字 2 16 7" xfId="11000"/>
    <cellStyle name="表体数字 2 16 8" xfId="4835"/>
    <cellStyle name="表体数字 2 16 9" xfId="4840"/>
    <cellStyle name="表体数字 2 17" xfId="13483"/>
    <cellStyle name="表体数字 2 17 10" xfId="13485"/>
    <cellStyle name="表体数字 2 17 2" xfId="13487"/>
    <cellStyle name="表体数字 2 17 2 2" xfId="13489"/>
    <cellStyle name="表体数字 2 17 2 3" xfId="13494"/>
    <cellStyle name="表体数字 2 17 2 4" xfId="13499"/>
    <cellStyle name="表体数字 2 17 2 5" xfId="13504"/>
    <cellStyle name="表体数字 2 17 2 6" xfId="13507"/>
    <cellStyle name="表体数字 2 17 2 7" xfId="13510"/>
    <cellStyle name="表体数字 2 17 2 8" xfId="13513"/>
    <cellStyle name="表体数字 2 17 3" xfId="13517"/>
    <cellStyle name="表体数字 2 17 3 2" xfId="13519"/>
    <cellStyle name="表体数字 2 17 3 3" xfId="13524"/>
    <cellStyle name="表体数字 2 17 3 4" xfId="13529"/>
    <cellStyle name="表体数字 2 17 3 5" xfId="13534"/>
    <cellStyle name="表体数字 2 17 3 6" xfId="13537"/>
    <cellStyle name="表体数字 2 17 3 7" xfId="13540"/>
    <cellStyle name="表体数字 2 17 3 8" xfId="13543"/>
    <cellStyle name="表体数字 2 17 4" xfId="13548"/>
    <cellStyle name="表体数字 2 17 5" xfId="13550"/>
    <cellStyle name="表体数字 2 17 6" xfId="13552"/>
    <cellStyle name="表体数字 2 17 7" xfId="13554"/>
    <cellStyle name="表体数字 2 17 8" xfId="13556"/>
    <cellStyle name="表体数字 2 17 9" xfId="13558"/>
    <cellStyle name="表体数字 2 18" xfId="13560"/>
    <cellStyle name="表体数字 2 18 10" xfId="13562"/>
    <cellStyle name="表体数字 2 18 2" xfId="13564"/>
    <cellStyle name="表体数字 2 18 2 2" xfId="13566"/>
    <cellStyle name="表体数字 2 18 2 3" xfId="13573"/>
    <cellStyle name="表体数字 2 18 2 4" xfId="13579"/>
    <cellStyle name="表体数字 2 18 2 5" xfId="13585"/>
    <cellStyle name="表体数字 2 18 2 6" xfId="13589"/>
    <cellStyle name="表体数字 2 18 2 7" xfId="13593"/>
    <cellStyle name="表体数字 2 18 2 8" xfId="13597"/>
    <cellStyle name="表体数字 2 18 3" xfId="13602"/>
    <cellStyle name="表体数字 2 18 3 2" xfId="13604"/>
    <cellStyle name="表体数字 2 18 3 3" xfId="13611"/>
    <cellStyle name="表体数字 2 18 3 4" xfId="13618"/>
    <cellStyle name="表体数字 2 18 3 5" xfId="13624"/>
    <cellStyle name="表体数字 2 18 3 6" xfId="13628"/>
    <cellStyle name="表体数字 2 18 3 7" xfId="13632"/>
    <cellStyle name="表体数字 2 18 3 8" xfId="13636"/>
    <cellStyle name="表体数字 2 18 4" xfId="13643"/>
    <cellStyle name="表体数字 2 18 5" xfId="13645"/>
    <cellStyle name="表体数字 2 18 6" xfId="13647"/>
    <cellStyle name="表体数字 2 18 7" xfId="13649"/>
    <cellStyle name="表体数字 2 18 8" xfId="13651"/>
    <cellStyle name="表体数字 2 18 9" xfId="13653"/>
    <cellStyle name="表体数字 2 19" xfId="13655"/>
    <cellStyle name="表体数字 2 19 10" xfId="11423"/>
    <cellStyle name="表体数字 2 19 2" xfId="13657"/>
    <cellStyle name="表体数字 2 19 2 2" xfId="9711"/>
    <cellStyle name="表体数字 2 19 2 3" xfId="13659"/>
    <cellStyle name="表体数字 2 19 2 4" xfId="13665"/>
    <cellStyle name="表体数字 2 19 2 5" xfId="13671"/>
    <cellStyle name="表体数字 2 19 2 6" xfId="13675"/>
    <cellStyle name="表体数字 2 19 2 7" xfId="13679"/>
    <cellStyle name="表体数字 2 19 2 8" xfId="13681"/>
    <cellStyle name="表体数字 2 19 3" xfId="13684"/>
    <cellStyle name="表体数字 2 19 3 2" xfId="13686"/>
    <cellStyle name="表体数字 2 19 3 3" xfId="13694"/>
    <cellStyle name="表体数字 2 19 3 4" xfId="6671"/>
    <cellStyle name="表体数字 2 19 3 5" xfId="6679"/>
    <cellStyle name="表体数字 2 19 3 6" xfId="13701"/>
    <cellStyle name="表体数字 2 19 3 7" xfId="13705"/>
    <cellStyle name="表体数字 2 19 3 8" xfId="13707"/>
    <cellStyle name="表体数字 2 19 4" xfId="13712"/>
    <cellStyle name="表体数字 2 19 5" xfId="13714"/>
    <cellStyle name="表体数字 2 19 6" xfId="13716"/>
    <cellStyle name="表体数字 2 19 7" xfId="13718"/>
    <cellStyle name="表体数字 2 19 8" xfId="13720"/>
    <cellStyle name="表体数字 2 19 9" xfId="13722"/>
    <cellStyle name="表体数字 2 2" xfId="13724"/>
    <cellStyle name="表体数字 2 2 10" xfId="9954"/>
    <cellStyle name="表体数字 2 2 2" xfId="13725"/>
    <cellStyle name="表体数字 2 2 2 2" xfId="13726"/>
    <cellStyle name="表体数字 2 2 2 3" xfId="13729"/>
    <cellStyle name="表体数字 2 2 2 4" xfId="13730"/>
    <cellStyle name="表体数字 2 2 2 5" xfId="13731"/>
    <cellStyle name="表体数字 2 2 2 6" xfId="13732"/>
    <cellStyle name="表体数字 2 2 2 7" xfId="13733"/>
    <cellStyle name="表体数字 2 2 2 8" xfId="13734"/>
    <cellStyle name="表体数字 2 2 3" xfId="2613"/>
    <cellStyle name="表体数字 2 2 3 2" xfId="13735"/>
    <cellStyle name="表体数字 2 2 3 3" xfId="13736"/>
    <cellStyle name="表体数字 2 2 3 4" xfId="13737"/>
    <cellStyle name="表体数字 2 2 3 5" xfId="13738"/>
    <cellStyle name="表体数字 2 2 3 6" xfId="13739"/>
    <cellStyle name="表体数字 2 2 3 7" xfId="13740"/>
    <cellStyle name="表体数字 2 2 3 8" xfId="13741"/>
    <cellStyle name="表体数字 2 2 4" xfId="2620"/>
    <cellStyle name="表体数字 2 2 5" xfId="2628"/>
    <cellStyle name="表体数字 2 2 6" xfId="2636"/>
    <cellStyle name="表体数字 2 2 7" xfId="2643"/>
    <cellStyle name="表体数字 2 2 8" xfId="2651"/>
    <cellStyle name="表体数字 2 2 9" xfId="2660"/>
    <cellStyle name="表体数字 2 20" xfId="13431"/>
    <cellStyle name="表体数字 2 20 10" xfId="13433"/>
    <cellStyle name="表体数字 2 20 2" xfId="13435"/>
    <cellStyle name="表体数字 2 20 2 2" xfId="13437"/>
    <cellStyle name="表体数字 2 20 2 3" xfId="13442"/>
    <cellStyle name="表体数字 2 20 2 4" xfId="13446"/>
    <cellStyle name="表体数字 2 20 2 5" xfId="13452"/>
    <cellStyle name="表体数字 2 20 2 6" xfId="13454"/>
    <cellStyle name="表体数字 2 20 2 7" xfId="13456"/>
    <cellStyle name="表体数字 2 20 2 8" xfId="7580"/>
    <cellStyle name="表体数字 2 20 3" xfId="10916"/>
    <cellStyle name="表体数字 2 20 3 2" xfId="10919"/>
    <cellStyle name="表体数字 2 20 3 3" xfId="10925"/>
    <cellStyle name="表体数字 2 20 3 4" xfId="8833"/>
    <cellStyle name="表体数字 2 20 3 5" xfId="8841"/>
    <cellStyle name="表体数字 2 20 3 6" xfId="8845"/>
    <cellStyle name="表体数字 2 20 3 7" xfId="8849"/>
    <cellStyle name="表体数字 2 20 3 8" xfId="7587"/>
    <cellStyle name="表体数字 2 20 4" xfId="10930"/>
    <cellStyle name="表体数字 2 20 5" xfId="10943"/>
    <cellStyle name="表体数字 2 20 6" xfId="10946"/>
    <cellStyle name="表体数字 2 20 7" xfId="10949"/>
    <cellStyle name="表体数字 2 20 8" xfId="10952"/>
    <cellStyle name="表体数字 2 20 9" xfId="10955"/>
    <cellStyle name="表体数字 2 21" xfId="13458"/>
    <cellStyle name="表体数字 2 21 10" xfId="13460"/>
    <cellStyle name="表体数字 2 21 2" xfId="13462"/>
    <cellStyle name="表体数字 2 21 2 2" xfId="13464"/>
    <cellStyle name="表体数字 2 21 2 3" xfId="13468"/>
    <cellStyle name="表体数字 2 21 2 4" xfId="13472"/>
    <cellStyle name="表体数字 2 21 2 5" xfId="13478"/>
    <cellStyle name="表体数字 2 21 2 6" xfId="13480"/>
    <cellStyle name="表体数字 2 21 2 7" xfId="13482"/>
    <cellStyle name="表体数字 2 21 2 8" xfId="7979"/>
    <cellStyle name="表体数字 2 21 3" xfId="10966"/>
    <cellStyle name="表体数字 2 21 3 2" xfId="10969"/>
    <cellStyle name="表体数字 2 21 3 3" xfId="10974"/>
    <cellStyle name="表体数字 2 21 3 4" xfId="10979"/>
    <cellStyle name="表体数字 2 21 3 5" xfId="10984"/>
    <cellStyle name="表体数字 2 21 3 6" xfId="4850"/>
    <cellStyle name="表体数字 2 21 3 7" xfId="10987"/>
    <cellStyle name="表体数字 2 21 3 8" xfId="7988"/>
    <cellStyle name="表体数字 2 21 4" xfId="10990"/>
    <cellStyle name="表体数字 2 21 5" xfId="10995"/>
    <cellStyle name="表体数字 2 21 6" xfId="10998"/>
    <cellStyle name="表体数字 2 21 7" xfId="11001"/>
    <cellStyle name="表体数字 2 21 8" xfId="4836"/>
    <cellStyle name="表体数字 2 21 9" xfId="4841"/>
    <cellStyle name="表体数字 2 22" xfId="13484"/>
    <cellStyle name="表体数字 2 22 10" xfId="13486"/>
    <cellStyle name="表体数字 2 22 2" xfId="13488"/>
    <cellStyle name="表体数字 2 22 2 2" xfId="13490"/>
    <cellStyle name="表体数字 2 22 2 3" xfId="13495"/>
    <cellStyle name="表体数字 2 22 2 4" xfId="13500"/>
    <cellStyle name="表体数字 2 22 2 5" xfId="13505"/>
    <cellStyle name="表体数字 2 22 2 6" xfId="13508"/>
    <cellStyle name="表体数字 2 22 2 7" xfId="13511"/>
    <cellStyle name="表体数字 2 22 2 8" xfId="13514"/>
    <cellStyle name="表体数字 2 22 3" xfId="13518"/>
    <cellStyle name="表体数字 2 22 3 2" xfId="13520"/>
    <cellStyle name="表体数字 2 22 3 3" xfId="13525"/>
    <cellStyle name="表体数字 2 22 3 4" xfId="13530"/>
    <cellStyle name="表体数字 2 22 3 5" xfId="13535"/>
    <cellStyle name="表体数字 2 22 3 6" xfId="13538"/>
    <cellStyle name="表体数字 2 22 3 7" xfId="13541"/>
    <cellStyle name="表体数字 2 22 3 8" xfId="13544"/>
    <cellStyle name="表体数字 2 22 4" xfId="13549"/>
    <cellStyle name="表体数字 2 22 5" xfId="13551"/>
    <cellStyle name="表体数字 2 22 6" xfId="13553"/>
    <cellStyle name="表体数字 2 22 7" xfId="13555"/>
    <cellStyle name="表体数字 2 22 8" xfId="13557"/>
    <cellStyle name="表体数字 2 22 9" xfId="13559"/>
    <cellStyle name="表体数字 2 23" xfId="13561"/>
    <cellStyle name="表体数字 2 23 10" xfId="13563"/>
    <cellStyle name="表体数字 2 23 2" xfId="13565"/>
    <cellStyle name="表体数字 2 23 2 2" xfId="13567"/>
    <cellStyle name="表体数字 2 23 2 3" xfId="13574"/>
    <cellStyle name="表体数字 2 23 2 4" xfId="13580"/>
    <cellStyle name="表体数字 2 23 2 5" xfId="13586"/>
    <cellStyle name="表体数字 2 23 2 6" xfId="13590"/>
    <cellStyle name="表体数字 2 23 2 7" xfId="13594"/>
    <cellStyle name="表体数字 2 23 2 8" xfId="13598"/>
    <cellStyle name="表体数字 2 23 3" xfId="13603"/>
    <cellStyle name="表体数字 2 23 3 2" xfId="13605"/>
    <cellStyle name="表体数字 2 23 3 3" xfId="13612"/>
    <cellStyle name="表体数字 2 23 3 4" xfId="13619"/>
    <cellStyle name="表体数字 2 23 3 5" xfId="13625"/>
    <cellStyle name="表体数字 2 23 3 6" xfId="13629"/>
    <cellStyle name="表体数字 2 23 3 7" xfId="13633"/>
    <cellStyle name="表体数字 2 23 3 8" xfId="13637"/>
    <cellStyle name="表体数字 2 23 4" xfId="13644"/>
    <cellStyle name="表体数字 2 23 5" xfId="13646"/>
    <cellStyle name="表体数字 2 23 6" xfId="13648"/>
    <cellStyle name="表体数字 2 23 7" xfId="13650"/>
    <cellStyle name="表体数字 2 23 8" xfId="13652"/>
    <cellStyle name="表体数字 2 23 9" xfId="13654"/>
    <cellStyle name="表体数字 2 24" xfId="13656"/>
    <cellStyle name="表体数字 2 24 10" xfId="11424"/>
    <cellStyle name="表体数字 2 24 2" xfId="13658"/>
    <cellStyle name="表体数字 2 24 2 2" xfId="9712"/>
    <cellStyle name="表体数字 2 24 2 3" xfId="13660"/>
    <cellStyle name="表体数字 2 24 2 4" xfId="13666"/>
    <cellStyle name="表体数字 2 24 2 5" xfId="13672"/>
    <cellStyle name="表体数字 2 24 2 6" xfId="13676"/>
    <cellStyle name="表体数字 2 24 2 7" xfId="13680"/>
    <cellStyle name="表体数字 2 24 2 8" xfId="13682"/>
    <cellStyle name="表体数字 2 24 3" xfId="13685"/>
    <cellStyle name="表体数字 2 24 3 2" xfId="13687"/>
    <cellStyle name="表体数字 2 24 3 3" xfId="13695"/>
    <cellStyle name="表体数字 2 24 3 4" xfId="6672"/>
    <cellStyle name="表体数字 2 24 3 5" xfId="6680"/>
    <cellStyle name="表体数字 2 24 3 6" xfId="13702"/>
    <cellStyle name="表体数字 2 24 3 7" xfId="13706"/>
    <cellStyle name="表体数字 2 24 3 8" xfId="13708"/>
    <cellStyle name="表体数字 2 24 4" xfId="13713"/>
    <cellStyle name="表体数字 2 24 5" xfId="13715"/>
    <cellStyle name="表体数字 2 24 6" xfId="13717"/>
    <cellStyle name="表体数字 2 24 7" xfId="13719"/>
    <cellStyle name="表体数字 2 24 8" xfId="13721"/>
    <cellStyle name="表体数字 2 24 9" xfId="13723"/>
    <cellStyle name="表体数字 2 25" xfId="3220"/>
    <cellStyle name="表体数字 2 25 10" xfId="13742"/>
    <cellStyle name="表体数字 2 25 2" xfId="13744"/>
    <cellStyle name="表体数字 2 25 2 2" xfId="13746"/>
    <cellStyle name="表体数字 2 25 2 3" xfId="13750"/>
    <cellStyle name="表体数字 2 25 2 4" xfId="13754"/>
    <cellStyle name="表体数字 2 25 2 5" xfId="13758"/>
    <cellStyle name="表体数字 2 25 2 6" xfId="13762"/>
    <cellStyle name="表体数字 2 25 2 7" xfId="13766"/>
    <cellStyle name="表体数字 2 25 2 8" xfId="13770"/>
    <cellStyle name="表体数字 2 25 3" xfId="13775"/>
    <cellStyle name="表体数字 2 25 3 2" xfId="13777"/>
    <cellStyle name="表体数字 2 25 3 3" xfId="13781"/>
    <cellStyle name="表体数字 2 25 3 4" xfId="13785"/>
    <cellStyle name="表体数字 2 25 3 5" xfId="13789"/>
    <cellStyle name="表体数字 2 25 3 6" xfId="13793"/>
    <cellStyle name="表体数字 2 25 3 7" xfId="13797"/>
    <cellStyle name="表体数字 2 25 3 8" xfId="13801"/>
    <cellStyle name="表体数字 2 25 4" xfId="13808"/>
    <cellStyle name="表体数字 2 25 5" xfId="13810"/>
    <cellStyle name="表体数字 2 25 6" xfId="13812"/>
    <cellStyle name="表体数字 2 25 7" xfId="13814"/>
    <cellStyle name="表体数字 2 25 8" xfId="13816"/>
    <cellStyle name="表体数字 2 25 9" xfId="13818"/>
    <cellStyle name="表体数字 2 26" xfId="3224"/>
    <cellStyle name="表体数字 2 26 10" xfId="13820"/>
    <cellStyle name="表体数字 2 26 2" xfId="13822"/>
    <cellStyle name="表体数字 2 26 2 2" xfId="13824"/>
    <cellStyle name="表体数字 2 26 2 3" xfId="13829"/>
    <cellStyle name="表体数字 2 26 2 4" xfId="13834"/>
    <cellStyle name="表体数字 2 26 2 5" xfId="13839"/>
    <cellStyle name="表体数字 2 26 2 6" xfId="13842"/>
    <cellStyle name="表体数字 2 26 2 7" xfId="13845"/>
    <cellStyle name="表体数字 2 26 2 8" xfId="6408"/>
    <cellStyle name="表体数字 2 26 3" xfId="13847"/>
    <cellStyle name="表体数字 2 26 3 2" xfId="13849"/>
    <cellStyle name="表体数字 2 26 3 3" xfId="13854"/>
    <cellStyle name="表体数字 2 26 3 4" xfId="13859"/>
    <cellStyle name="表体数字 2 26 3 5" xfId="13864"/>
    <cellStyle name="表体数字 2 26 3 6" xfId="13867"/>
    <cellStyle name="表体数字 2 26 3 7" xfId="13870"/>
    <cellStyle name="表体数字 2 26 3 8" xfId="13872"/>
    <cellStyle name="表体数字 2 26 4" xfId="13877"/>
    <cellStyle name="表体数字 2 26 5" xfId="13879"/>
    <cellStyle name="表体数字 2 26 6" xfId="13881"/>
    <cellStyle name="表体数字 2 26 7" xfId="13883"/>
    <cellStyle name="表体数字 2 26 8" xfId="13885"/>
    <cellStyle name="表体数字 2 26 9" xfId="13887"/>
    <cellStyle name="表体数字 2 27" xfId="10519"/>
    <cellStyle name="表体数字 2 27 10" xfId="13889"/>
    <cellStyle name="表体数字 2 27 2" xfId="13891"/>
    <cellStyle name="表体数字 2 27 2 2" xfId="13893"/>
    <cellStyle name="表体数字 2 27 2 3" xfId="13897"/>
    <cellStyle name="表体数字 2 27 2 4" xfId="13901"/>
    <cellStyle name="表体数字 2 27 2 5" xfId="13905"/>
    <cellStyle name="表体数字 2 27 2 6" xfId="13907"/>
    <cellStyle name="表体数字 2 27 2 7" xfId="13909"/>
    <cellStyle name="表体数字 2 27 2 8" xfId="13911"/>
    <cellStyle name="表体数字 2 27 3" xfId="13915"/>
    <cellStyle name="表体数字 2 27 3 2" xfId="13917"/>
    <cellStyle name="表体数字 2 27 3 3" xfId="13921"/>
    <cellStyle name="表体数字 2 27 3 4" xfId="13925"/>
    <cellStyle name="表体数字 2 27 3 5" xfId="13929"/>
    <cellStyle name="表体数字 2 27 3 6" xfId="13931"/>
    <cellStyle name="表体数字 2 27 3 7" xfId="13933"/>
    <cellStyle name="表体数字 2 27 3 8" xfId="13935"/>
    <cellStyle name="表体数字 2 27 4" xfId="13941"/>
    <cellStyle name="表体数字 2 27 5" xfId="13943"/>
    <cellStyle name="表体数字 2 27 6" xfId="13945"/>
    <cellStyle name="表体数字 2 27 7" xfId="13947"/>
    <cellStyle name="表体数字 2 27 8" xfId="13949"/>
    <cellStyle name="表体数字 2 27 9" xfId="13951"/>
    <cellStyle name="表体数字 2 28" xfId="10522"/>
    <cellStyle name="表体数字 2 28 10" xfId="13955"/>
    <cellStyle name="表体数字 2 28 2" xfId="11869"/>
    <cellStyle name="表体数字 2 28 2 2" xfId="13957"/>
    <cellStyle name="表体数字 2 28 2 3" xfId="13961"/>
    <cellStyle name="表体数字 2 28 2 4" xfId="13965"/>
    <cellStyle name="表体数字 2 28 2 5" xfId="13969"/>
    <cellStyle name="表体数字 2 28 2 6" xfId="13971"/>
    <cellStyle name="表体数字 2 28 2 7" xfId="13973"/>
    <cellStyle name="表体数字 2 28 2 8" xfId="13975"/>
    <cellStyle name="表体数字 2 28 3" xfId="11874"/>
    <cellStyle name="表体数字 2 28 3 2" xfId="13979"/>
    <cellStyle name="表体数字 2 28 3 3" xfId="13983"/>
    <cellStyle name="表体数字 2 28 3 4" xfId="13987"/>
    <cellStyle name="表体数字 2 28 3 5" xfId="13991"/>
    <cellStyle name="表体数字 2 28 3 6" xfId="13993"/>
    <cellStyle name="表体数字 2 28 3 7" xfId="13995"/>
    <cellStyle name="表体数字 2 28 3 8" xfId="13998"/>
    <cellStyle name="表体数字 2 28 4" xfId="11879"/>
    <cellStyle name="表体数字 2 28 5" xfId="14003"/>
    <cellStyle name="表体数字 2 28 6" xfId="14007"/>
    <cellStyle name="表体数字 2 28 7" xfId="14011"/>
    <cellStyle name="表体数字 2 28 8" xfId="5323"/>
    <cellStyle name="表体数字 2 28 9" xfId="5328"/>
    <cellStyle name="表体数字 2 29" xfId="10527"/>
    <cellStyle name="表体数字 2 29 10" xfId="11466"/>
    <cellStyle name="表体数字 2 29 2" xfId="14017"/>
    <cellStyle name="表体数字 2 29 2 2" xfId="14024"/>
    <cellStyle name="表体数字 2 29 2 3" xfId="14028"/>
    <cellStyle name="表体数字 2 29 2 4" xfId="14032"/>
    <cellStyle name="表体数字 2 29 2 5" xfId="14036"/>
    <cellStyle name="表体数字 2 29 2 6" xfId="14038"/>
    <cellStyle name="表体数字 2 29 2 7" xfId="14040"/>
    <cellStyle name="表体数字 2 29 2 8" xfId="14042"/>
    <cellStyle name="表体数字 2 29 3" xfId="14048"/>
    <cellStyle name="表体数字 2 29 3 2" xfId="14055"/>
    <cellStyle name="表体数字 2 29 3 3" xfId="14060"/>
    <cellStyle name="表体数字 2 29 3 4" xfId="8911"/>
    <cellStyle name="表体数字 2 29 3 5" xfId="8917"/>
    <cellStyle name="表体数字 2 29 3 6" xfId="14065"/>
    <cellStyle name="表体数字 2 29 3 7" xfId="14068"/>
    <cellStyle name="表体数字 2 29 3 8" xfId="14073"/>
    <cellStyle name="表体数字 2 29 4" xfId="14080"/>
    <cellStyle name="表体数字 2 29 5" xfId="14089"/>
    <cellStyle name="表体数字 2 29 6" xfId="14098"/>
    <cellStyle name="表体数字 2 29 7" xfId="14104"/>
    <cellStyle name="表体数字 2 29 8" xfId="14108"/>
    <cellStyle name="表体数字 2 29 9" xfId="12272"/>
    <cellStyle name="表体数字 2 3" xfId="14112"/>
    <cellStyle name="表体数字 2 3 10" xfId="10134"/>
    <cellStyle name="表体数字 2 3 2" xfId="14113"/>
    <cellStyle name="表体数字 2 3 2 2" xfId="14116"/>
    <cellStyle name="表体数字 2 3 2 3" xfId="14117"/>
    <cellStyle name="表体数字 2 3 2 4" xfId="14118"/>
    <cellStyle name="表体数字 2 3 2 5" xfId="14119"/>
    <cellStyle name="表体数字 2 3 2 6" xfId="14120"/>
    <cellStyle name="表体数字 2 3 2 7" xfId="14121"/>
    <cellStyle name="表体数字 2 3 2 8" xfId="14122"/>
    <cellStyle name="表体数字 2 3 3" xfId="14123"/>
    <cellStyle name="表体数字 2 3 3 2" xfId="14126"/>
    <cellStyle name="表体数字 2 3 3 3" xfId="14127"/>
    <cellStyle name="表体数字 2 3 3 4" xfId="14128"/>
    <cellStyle name="表体数字 2 3 3 5" xfId="14129"/>
    <cellStyle name="表体数字 2 3 3 6" xfId="14130"/>
    <cellStyle name="表体数字 2 3 3 7" xfId="14131"/>
    <cellStyle name="表体数字 2 3 3 8" xfId="14132"/>
    <cellStyle name="表体数字 2 3 4" xfId="14133"/>
    <cellStyle name="表体数字 2 3 5" xfId="14136"/>
    <cellStyle name="表体数字 2 3 6" xfId="14139"/>
    <cellStyle name="表体数字 2 3 7" xfId="14142"/>
    <cellStyle name="表体数字 2 3 8" xfId="14143"/>
    <cellStyle name="表体数字 2 3 9" xfId="14144"/>
    <cellStyle name="表体数字 2 30" xfId="3219"/>
    <cellStyle name="表体数字 2 30 10" xfId="13743"/>
    <cellStyle name="表体数字 2 30 2" xfId="13745"/>
    <cellStyle name="表体数字 2 30 2 2" xfId="13747"/>
    <cellStyle name="表体数字 2 30 2 3" xfId="13751"/>
    <cellStyle name="表体数字 2 30 2 4" xfId="13755"/>
    <cellStyle name="表体数字 2 30 2 5" xfId="13759"/>
    <cellStyle name="表体数字 2 30 2 6" xfId="13763"/>
    <cellStyle name="表体数字 2 30 2 7" xfId="13767"/>
    <cellStyle name="表体数字 2 30 2 8" xfId="13771"/>
    <cellStyle name="表体数字 2 30 3" xfId="13776"/>
    <cellStyle name="表体数字 2 30 3 2" xfId="13778"/>
    <cellStyle name="表体数字 2 30 3 3" xfId="13782"/>
    <cellStyle name="表体数字 2 30 3 4" xfId="13786"/>
    <cellStyle name="表体数字 2 30 3 5" xfId="13790"/>
    <cellStyle name="表体数字 2 30 3 6" xfId="13794"/>
    <cellStyle name="表体数字 2 30 3 7" xfId="13798"/>
    <cellStyle name="表体数字 2 30 3 8" xfId="13802"/>
    <cellStyle name="表体数字 2 30 4" xfId="13809"/>
    <cellStyle name="表体数字 2 30 5" xfId="13811"/>
    <cellStyle name="表体数字 2 30 6" xfId="13813"/>
    <cellStyle name="表体数字 2 30 7" xfId="13815"/>
    <cellStyle name="表体数字 2 30 8" xfId="13817"/>
    <cellStyle name="表体数字 2 30 9" xfId="13819"/>
    <cellStyle name="表体数字 2 31" xfId="3223"/>
    <cellStyle name="表体数字 2 31 10" xfId="13821"/>
    <cellStyle name="表体数字 2 31 2" xfId="13823"/>
    <cellStyle name="表体数字 2 31 2 2" xfId="13825"/>
    <cellStyle name="表体数字 2 31 2 3" xfId="13830"/>
    <cellStyle name="表体数字 2 31 2 4" xfId="13835"/>
    <cellStyle name="表体数字 2 31 2 5" xfId="13840"/>
    <cellStyle name="表体数字 2 31 2 6" xfId="13843"/>
    <cellStyle name="表体数字 2 31 2 7" xfId="13846"/>
    <cellStyle name="表体数字 2 31 2 8" xfId="6409"/>
    <cellStyle name="表体数字 2 31 3" xfId="13848"/>
    <cellStyle name="表体数字 2 31 3 2" xfId="13850"/>
    <cellStyle name="表体数字 2 31 3 3" xfId="13855"/>
    <cellStyle name="表体数字 2 31 3 4" xfId="13860"/>
    <cellStyle name="表体数字 2 31 3 5" xfId="13865"/>
    <cellStyle name="表体数字 2 31 3 6" xfId="13868"/>
    <cellStyle name="表体数字 2 31 3 7" xfId="13871"/>
    <cellStyle name="表体数字 2 31 3 8" xfId="13873"/>
    <cellStyle name="表体数字 2 31 4" xfId="13878"/>
    <cellStyle name="表体数字 2 31 5" xfId="13880"/>
    <cellStyle name="表体数字 2 31 6" xfId="13882"/>
    <cellStyle name="表体数字 2 31 7" xfId="13884"/>
    <cellStyle name="表体数字 2 31 8" xfId="13886"/>
    <cellStyle name="表体数字 2 31 9" xfId="13888"/>
    <cellStyle name="表体数字 2 32" xfId="10520"/>
    <cellStyle name="表体数字 2 32 10" xfId="13890"/>
    <cellStyle name="表体数字 2 32 2" xfId="13892"/>
    <cellStyle name="表体数字 2 32 2 2" xfId="13894"/>
    <cellStyle name="表体数字 2 32 2 3" xfId="13898"/>
    <cellStyle name="表体数字 2 32 2 4" xfId="13902"/>
    <cellStyle name="表体数字 2 32 2 5" xfId="13906"/>
    <cellStyle name="表体数字 2 32 2 6" xfId="13908"/>
    <cellStyle name="表体数字 2 32 2 7" xfId="13910"/>
    <cellStyle name="表体数字 2 32 2 8" xfId="13912"/>
    <cellStyle name="表体数字 2 32 3" xfId="13916"/>
    <cellStyle name="表体数字 2 32 3 2" xfId="13918"/>
    <cellStyle name="表体数字 2 32 3 3" xfId="13922"/>
    <cellStyle name="表体数字 2 32 3 4" xfId="13926"/>
    <cellStyle name="表体数字 2 32 3 5" xfId="13930"/>
    <cellStyle name="表体数字 2 32 3 6" xfId="13932"/>
    <cellStyle name="表体数字 2 32 3 7" xfId="13934"/>
    <cellStyle name="表体数字 2 32 3 8" xfId="13936"/>
    <cellStyle name="表体数字 2 32 4" xfId="13942"/>
    <cellStyle name="表体数字 2 32 5" xfId="13944"/>
    <cellStyle name="表体数字 2 32 6" xfId="13946"/>
    <cellStyle name="表体数字 2 32 7" xfId="13948"/>
    <cellStyle name="表体数字 2 32 8" xfId="13950"/>
    <cellStyle name="表体数字 2 32 9" xfId="13952"/>
    <cellStyle name="表体数字 2 33" xfId="10523"/>
    <cellStyle name="表体数字 2 33 10" xfId="13956"/>
    <cellStyle name="表体数字 2 33 2" xfId="11870"/>
    <cellStyle name="表体数字 2 33 2 2" xfId="13958"/>
    <cellStyle name="表体数字 2 33 2 3" xfId="13962"/>
    <cellStyle name="表体数字 2 33 2 4" xfId="13966"/>
    <cellStyle name="表体数字 2 33 2 5" xfId="13970"/>
    <cellStyle name="表体数字 2 33 2 6" xfId="13972"/>
    <cellStyle name="表体数字 2 33 2 7" xfId="13974"/>
    <cellStyle name="表体数字 2 33 2 8" xfId="13976"/>
    <cellStyle name="表体数字 2 33 3" xfId="11875"/>
    <cellStyle name="表体数字 2 33 3 2" xfId="13980"/>
    <cellStyle name="表体数字 2 33 3 3" xfId="13984"/>
    <cellStyle name="表体数字 2 33 3 4" xfId="13988"/>
    <cellStyle name="表体数字 2 33 3 5" xfId="13992"/>
    <cellStyle name="表体数字 2 33 3 6" xfId="13994"/>
    <cellStyle name="表体数字 2 33 3 7" xfId="13996"/>
    <cellStyle name="表体数字 2 33 3 8" xfId="13999"/>
    <cellStyle name="表体数字 2 33 4" xfId="11880"/>
    <cellStyle name="表体数字 2 33 5" xfId="14004"/>
    <cellStyle name="表体数字 2 33 6" xfId="14008"/>
    <cellStyle name="表体数字 2 33 7" xfId="14012"/>
    <cellStyle name="表体数字 2 33 8" xfId="5324"/>
    <cellStyle name="表体数字 2 33 9" xfId="5329"/>
    <cellStyle name="表体数字 2 34" xfId="10528"/>
    <cellStyle name="表体数字 2 34 10" xfId="11467"/>
    <cellStyle name="表体数字 2 34 2" xfId="14018"/>
    <cellStyle name="表体数字 2 34 2 2" xfId="14025"/>
    <cellStyle name="表体数字 2 34 2 3" xfId="14029"/>
    <cellStyle name="表体数字 2 34 2 4" xfId="14033"/>
    <cellStyle name="表体数字 2 34 2 5" xfId="14037"/>
    <cellStyle name="表体数字 2 34 2 6" xfId="14039"/>
    <cellStyle name="表体数字 2 34 2 7" xfId="14041"/>
    <cellStyle name="表体数字 2 34 2 8" xfId="14043"/>
    <cellStyle name="表体数字 2 34 3" xfId="14049"/>
    <cellStyle name="表体数字 2 34 3 2" xfId="14056"/>
    <cellStyle name="表体数字 2 34 3 3" xfId="14061"/>
    <cellStyle name="表体数字 2 34 3 4" xfId="8912"/>
    <cellStyle name="表体数字 2 34 3 5" xfId="8918"/>
    <cellStyle name="表体数字 2 34 3 6" xfId="14066"/>
    <cellStyle name="表体数字 2 34 3 7" xfId="14069"/>
    <cellStyle name="表体数字 2 34 3 8" xfId="14074"/>
    <cellStyle name="表体数字 2 34 4" xfId="14081"/>
    <cellStyle name="表体数字 2 34 5" xfId="14090"/>
    <cellStyle name="表体数字 2 34 6" xfId="14099"/>
    <cellStyle name="表体数字 2 34 7" xfId="14105"/>
    <cellStyle name="表体数字 2 34 8" xfId="14109"/>
    <cellStyle name="表体数字 2 34 9" xfId="12273"/>
    <cellStyle name="表体数字 2 35" xfId="5337"/>
    <cellStyle name="表体数字 2 35 10" xfId="14145"/>
    <cellStyle name="表体数字 2 35 2" xfId="14149"/>
    <cellStyle name="表体数字 2 35 2 2" xfId="14153"/>
    <cellStyle name="表体数字 2 35 2 3" xfId="14157"/>
    <cellStyle name="表体数字 2 35 2 4" xfId="14161"/>
    <cellStyle name="表体数字 2 35 2 5" xfId="14165"/>
    <cellStyle name="表体数字 2 35 2 6" xfId="14167"/>
    <cellStyle name="表体数字 2 35 2 7" xfId="14169"/>
    <cellStyle name="表体数字 2 35 2 8" xfId="14171"/>
    <cellStyle name="表体数字 2 35 3" xfId="14177"/>
    <cellStyle name="表体数字 2 35 3 2" xfId="14181"/>
    <cellStyle name="表体数字 2 35 3 3" xfId="14186"/>
    <cellStyle name="表体数字 2 35 3 4" xfId="14191"/>
    <cellStyle name="表体数字 2 35 3 5" xfId="14196"/>
    <cellStyle name="表体数字 2 35 3 6" xfId="14199"/>
    <cellStyle name="表体数字 2 35 3 7" xfId="14202"/>
    <cellStyle name="表体数字 2 35 3 8" xfId="14207"/>
    <cellStyle name="表体数字 2 35 4" xfId="14213"/>
    <cellStyle name="表体数字 2 35 5" xfId="14219"/>
    <cellStyle name="表体数字 2 35 6" xfId="14225"/>
    <cellStyle name="表体数字 2 35 7" xfId="14229"/>
    <cellStyle name="表体数字 2 35 8" xfId="14231"/>
    <cellStyle name="表体数字 2 35 9" xfId="14233"/>
    <cellStyle name="表体数字 2 36" xfId="2542"/>
    <cellStyle name="表体数字 2 36 10" xfId="37"/>
    <cellStyle name="表体数字 2 36 2" xfId="14235"/>
    <cellStyle name="表体数字 2 36 2 2" xfId="14237"/>
    <cellStyle name="表体数字 2 36 2 3" xfId="14241"/>
    <cellStyle name="表体数字 2 36 2 4" xfId="14245"/>
    <cellStyle name="表体数字 2 36 2 5" xfId="14249"/>
    <cellStyle name="表体数字 2 36 2 6" xfId="14251"/>
    <cellStyle name="表体数字 2 36 2 7" xfId="14253"/>
    <cellStyle name="表体数字 2 36 2 8" xfId="14255"/>
    <cellStyle name="表体数字 2 36 3" xfId="14259"/>
    <cellStyle name="表体数字 2 36 3 2" xfId="14262"/>
    <cellStyle name="表体数字 2 36 3 3" xfId="14268"/>
    <cellStyle name="表体数字 2 36 3 4" xfId="14274"/>
    <cellStyle name="表体数字 2 36 3 5" xfId="14280"/>
    <cellStyle name="表体数字 2 36 3 6" xfId="14285"/>
    <cellStyle name="表体数字 2 36 3 7" xfId="14290"/>
    <cellStyle name="表体数字 2 36 3 8" xfId="14297"/>
    <cellStyle name="表体数字 2 36 4" xfId="14301"/>
    <cellStyle name="表体数字 2 36 5" xfId="14303"/>
    <cellStyle name="表体数字 2 36 6" xfId="14305"/>
    <cellStyle name="表体数字 2 36 7" xfId="14307"/>
    <cellStyle name="表体数字 2 36 8" xfId="14309"/>
    <cellStyle name="表体数字 2 36 9" xfId="14311"/>
    <cellStyle name="表体数字 2 37" xfId="2550"/>
    <cellStyle name="表体数字 2 37 10" xfId="11517"/>
    <cellStyle name="表体数字 2 37 2" xfId="14313"/>
    <cellStyle name="表体数字 2 37 2 2" xfId="14315"/>
    <cellStyle name="表体数字 2 37 2 3" xfId="14319"/>
    <cellStyle name="表体数字 2 37 2 4" xfId="14323"/>
    <cellStyle name="表体数字 2 37 2 5" xfId="14327"/>
    <cellStyle name="表体数字 2 37 2 6" xfId="14329"/>
    <cellStyle name="表体数字 2 37 2 7" xfId="14331"/>
    <cellStyle name="表体数字 2 37 2 8" xfId="14333"/>
    <cellStyle name="表体数字 2 37 3" xfId="14337"/>
    <cellStyle name="表体数字 2 37 3 2" xfId="14339"/>
    <cellStyle name="表体数字 2 37 3 3" xfId="14344"/>
    <cellStyle name="表体数字 2 37 3 4" xfId="14349"/>
    <cellStyle name="表体数字 2 37 3 5" xfId="14354"/>
    <cellStyle name="表体数字 2 37 3 6" xfId="14357"/>
    <cellStyle name="表体数字 2 37 3 7" xfId="14360"/>
    <cellStyle name="表体数字 2 37 3 8" xfId="14365"/>
    <cellStyle name="表体数字 2 37 4" xfId="14369"/>
    <cellStyle name="表体数字 2 37 5" xfId="14371"/>
    <cellStyle name="表体数字 2 37 6" xfId="14373"/>
    <cellStyle name="表体数字 2 37 7" xfId="14375"/>
    <cellStyle name="表体数字 2 37 8" xfId="14377"/>
    <cellStyle name="表体数字 2 37 9" xfId="14379"/>
    <cellStyle name="表体数字 2 38" xfId="2556"/>
    <cellStyle name="表体数字 2 38 10" xfId="14381"/>
    <cellStyle name="表体数字 2 38 2" xfId="14383"/>
    <cellStyle name="表体数字 2 38 2 2" xfId="14385"/>
    <cellStyle name="表体数字 2 38 2 3" xfId="14389"/>
    <cellStyle name="表体数字 2 38 2 4" xfId="14393"/>
    <cellStyle name="表体数字 2 38 2 5" xfId="14397"/>
    <cellStyle name="表体数字 2 38 2 6" xfId="14399"/>
    <cellStyle name="表体数字 2 38 2 7" xfId="8721"/>
    <cellStyle name="表体数字 2 38 2 8" xfId="8724"/>
    <cellStyle name="表体数字 2 38 3" xfId="14401"/>
    <cellStyle name="表体数字 2 38 3 2" xfId="14403"/>
    <cellStyle name="表体数字 2 38 3 3" xfId="14408"/>
    <cellStyle name="表体数字 2 38 3 4" xfId="14413"/>
    <cellStyle name="表体数字 2 38 3 5" xfId="14418"/>
    <cellStyle name="表体数字 2 38 3 6" xfId="14421"/>
    <cellStyle name="表体数字 2 38 3 7" xfId="14424"/>
    <cellStyle name="表体数字 2 38 3 8" xfId="14429"/>
    <cellStyle name="表体数字 2 38 4" xfId="14433"/>
    <cellStyle name="表体数字 2 38 5" xfId="14435"/>
    <cellStyle name="表体数字 2 38 6" xfId="14437"/>
    <cellStyle name="表体数字 2 38 7" xfId="14439"/>
    <cellStyle name="表体数字 2 38 8" xfId="14441"/>
    <cellStyle name="表体数字 2 38 9" xfId="12288"/>
    <cellStyle name="表体数字 2 39" xfId="2562"/>
    <cellStyle name="表体数字 2 39 10" xfId="3684"/>
    <cellStyle name="表体数字 2 39 2" xfId="3694"/>
    <cellStyle name="表体数字 2 39 2 2" xfId="3703"/>
    <cellStyle name="表体数字 2 39 2 3" xfId="3709"/>
    <cellStyle name="表体数字 2 39 2 4" xfId="14443"/>
    <cellStyle name="表体数字 2 39 2 5" xfId="14447"/>
    <cellStyle name="表体数字 2 39 2 6" xfId="14449"/>
    <cellStyle name="表体数字 2 39 2 7" xfId="14451"/>
    <cellStyle name="表体数字 2 39 2 8" xfId="14453"/>
    <cellStyle name="表体数字 2 39 3" xfId="3717"/>
    <cellStyle name="表体数字 2 39 3 2" xfId="3728"/>
    <cellStyle name="表体数字 2 39 3 3" xfId="166"/>
    <cellStyle name="表体数字 2 39 3 4" xfId="14457"/>
    <cellStyle name="表体数字 2 39 3 5" xfId="14462"/>
    <cellStyle name="表体数字 2 39 3 6" xfId="14465"/>
    <cellStyle name="表体数字 2 39 3 7" xfId="14468"/>
    <cellStyle name="表体数字 2 39 3 8" xfId="14471"/>
    <cellStyle name="表体数字 2 39 4" xfId="3733"/>
    <cellStyle name="表体数字 2 39 5" xfId="3751"/>
    <cellStyle name="表体数字 2 39 6" xfId="3768"/>
    <cellStyle name="表体数字 2 39 7" xfId="3776"/>
    <cellStyle name="表体数字 2 39 8" xfId="3784"/>
    <cellStyle name="表体数字 2 39 9" xfId="3804"/>
    <cellStyle name="表体数字 2 4" xfId="14475"/>
    <cellStyle name="表体数字 2 4 10" xfId="10786"/>
    <cellStyle name="表体数字 2 4 2" xfId="14476"/>
    <cellStyle name="表体数字 2 4 2 2" xfId="14479"/>
    <cellStyle name="表体数字 2 4 2 3" xfId="14480"/>
    <cellStyle name="表体数字 2 4 2 4" xfId="14481"/>
    <cellStyle name="表体数字 2 4 2 5" xfId="14482"/>
    <cellStyle name="表体数字 2 4 2 6" xfId="14483"/>
    <cellStyle name="表体数字 2 4 2 7" xfId="14484"/>
    <cellStyle name="表体数字 2 4 2 8" xfId="14485"/>
    <cellStyle name="表体数字 2 4 3" xfId="14486"/>
    <cellStyle name="表体数字 2 4 3 2" xfId="14489"/>
    <cellStyle name="表体数字 2 4 3 3" xfId="14490"/>
    <cellStyle name="表体数字 2 4 3 4" xfId="14491"/>
    <cellStyle name="表体数字 2 4 3 5" xfId="14492"/>
    <cellStyle name="表体数字 2 4 3 6" xfId="14493"/>
    <cellStyle name="表体数字 2 4 3 7" xfId="14494"/>
    <cellStyle name="表体数字 2 4 3 8" xfId="14495"/>
    <cellStyle name="表体数字 2 4 4" xfId="14496"/>
    <cellStyle name="表体数字 2 4 5" xfId="14499"/>
    <cellStyle name="表体数字 2 4 6" xfId="14502"/>
    <cellStyle name="表体数字 2 4 7" xfId="14505"/>
    <cellStyle name="表体数字 2 4 8" xfId="14506"/>
    <cellStyle name="表体数字 2 4 9" xfId="14507"/>
    <cellStyle name="表体数字 2 40" xfId="5338"/>
    <cellStyle name="表体数字 2 40 10" xfId="14146"/>
    <cellStyle name="表体数字 2 40 2" xfId="14150"/>
    <cellStyle name="表体数字 2 40 2 2" xfId="14154"/>
    <cellStyle name="表体数字 2 40 2 3" xfId="14158"/>
    <cellStyle name="表体数字 2 40 2 4" xfId="14162"/>
    <cellStyle name="表体数字 2 40 2 5" xfId="14166"/>
    <cellStyle name="表体数字 2 40 2 6" xfId="14168"/>
    <cellStyle name="表体数字 2 40 2 7" xfId="14170"/>
    <cellStyle name="表体数字 2 40 2 8" xfId="14172"/>
    <cellStyle name="表体数字 2 40 3" xfId="14178"/>
    <cellStyle name="表体数字 2 40 3 2" xfId="14182"/>
    <cellStyle name="表体数字 2 40 3 3" xfId="14187"/>
    <cellStyle name="表体数字 2 40 3 4" xfId="14192"/>
    <cellStyle name="表体数字 2 40 3 5" xfId="14197"/>
    <cellStyle name="表体数字 2 40 3 6" xfId="14200"/>
    <cellStyle name="表体数字 2 40 3 7" xfId="14203"/>
    <cellStyle name="表体数字 2 40 3 8" xfId="14208"/>
    <cellStyle name="表体数字 2 40 4" xfId="14214"/>
    <cellStyle name="表体数字 2 40 5" xfId="14220"/>
    <cellStyle name="表体数字 2 40 6" xfId="14226"/>
    <cellStyle name="表体数字 2 40 7" xfId="14230"/>
    <cellStyle name="表体数字 2 40 8" xfId="14232"/>
    <cellStyle name="表体数字 2 40 9" xfId="14234"/>
    <cellStyle name="表体数字 2 41" xfId="2541"/>
    <cellStyle name="表体数字 2 41 10" xfId="38"/>
    <cellStyle name="表体数字 2 41 2" xfId="14236"/>
    <cellStyle name="表体数字 2 41 2 2" xfId="14238"/>
    <cellStyle name="表体数字 2 41 2 3" xfId="14242"/>
    <cellStyle name="表体数字 2 41 2 4" xfId="14246"/>
    <cellStyle name="表体数字 2 41 2 5" xfId="14250"/>
    <cellStyle name="表体数字 2 41 2 6" xfId="14252"/>
    <cellStyle name="表体数字 2 41 2 7" xfId="14254"/>
    <cellStyle name="表体数字 2 41 2 8" xfId="14256"/>
    <cellStyle name="表体数字 2 41 3" xfId="14260"/>
    <cellStyle name="表体数字 2 41 3 2" xfId="14263"/>
    <cellStyle name="表体数字 2 41 3 3" xfId="14269"/>
    <cellStyle name="表体数字 2 41 3 4" xfId="14275"/>
    <cellStyle name="表体数字 2 41 3 5" xfId="14281"/>
    <cellStyle name="表体数字 2 41 3 6" xfId="14286"/>
    <cellStyle name="表体数字 2 41 3 7" xfId="14291"/>
    <cellStyle name="表体数字 2 41 3 8" xfId="14298"/>
    <cellStyle name="表体数字 2 41 4" xfId="14302"/>
    <cellStyle name="表体数字 2 41 5" xfId="14304"/>
    <cellStyle name="表体数字 2 41 6" xfId="14306"/>
    <cellStyle name="表体数字 2 41 7" xfId="14308"/>
    <cellStyle name="表体数字 2 41 8" xfId="14310"/>
    <cellStyle name="表体数字 2 41 9" xfId="14312"/>
    <cellStyle name="表体数字 2 42" xfId="2549"/>
    <cellStyle name="表体数字 2 42 10" xfId="11518"/>
    <cellStyle name="表体数字 2 42 2" xfId="14314"/>
    <cellStyle name="表体数字 2 42 2 2" xfId="14316"/>
    <cellStyle name="表体数字 2 42 2 3" xfId="14320"/>
    <cellStyle name="表体数字 2 42 2 4" xfId="14324"/>
    <cellStyle name="表体数字 2 42 2 5" xfId="14328"/>
    <cellStyle name="表体数字 2 42 2 6" xfId="14330"/>
    <cellStyle name="表体数字 2 42 2 7" xfId="14332"/>
    <cellStyle name="表体数字 2 42 2 8" xfId="14334"/>
    <cellStyle name="表体数字 2 42 3" xfId="14338"/>
    <cellStyle name="表体数字 2 42 3 2" xfId="14340"/>
    <cellStyle name="表体数字 2 42 3 3" xfId="14345"/>
    <cellStyle name="表体数字 2 42 3 4" xfId="14350"/>
    <cellStyle name="表体数字 2 42 3 5" xfId="14355"/>
    <cellStyle name="表体数字 2 42 3 6" xfId="14358"/>
    <cellStyle name="表体数字 2 42 3 7" xfId="14361"/>
    <cellStyle name="表体数字 2 42 3 8" xfId="14366"/>
    <cellStyle name="表体数字 2 42 4" xfId="14370"/>
    <cellStyle name="表体数字 2 42 5" xfId="14372"/>
    <cellStyle name="表体数字 2 42 6" xfId="14374"/>
    <cellStyle name="表体数字 2 42 7" xfId="14376"/>
    <cellStyle name="表体数字 2 42 8" xfId="14378"/>
    <cellStyle name="表体数字 2 42 9" xfId="14380"/>
    <cellStyle name="表体数字 2 43" xfId="2555"/>
    <cellStyle name="表体数字 2 43 10" xfId="14382"/>
    <cellStyle name="表体数字 2 43 2" xfId="14384"/>
    <cellStyle name="表体数字 2 43 2 2" xfId="14386"/>
    <cellStyle name="表体数字 2 43 2 3" xfId="14390"/>
    <cellStyle name="表体数字 2 43 2 4" xfId="14394"/>
    <cellStyle name="表体数字 2 43 2 5" xfId="14398"/>
    <cellStyle name="表体数字 2 43 2 6" xfId="14400"/>
    <cellStyle name="表体数字 2 43 2 7" xfId="8722"/>
    <cellStyle name="表体数字 2 43 2 8" xfId="8725"/>
    <cellStyle name="表体数字 2 43 3" xfId="14402"/>
    <cellStyle name="表体数字 2 43 3 2" xfId="14404"/>
    <cellStyle name="表体数字 2 43 3 3" xfId="14409"/>
    <cellStyle name="表体数字 2 43 3 4" xfId="14414"/>
    <cellStyle name="表体数字 2 43 3 5" xfId="14419"/>
    <cellStyle name="表体数字 2 43 3 6" xfId="14422"/>
    <cellStyle name="表体数字 2 43 3 7" xfId="14425"/>
    <cellStyle name="表体数字 2 43 3 8" xfId="14430"/>
    <cellStyle name="表体数字 2 43 4" xfId="14434"/>
    <cellStyle name="表体数字 2 43 5" xfId="14436"/>
    <cellStyle name="表体数字 2 43 6" xfId="14438"/>
    <cellStyle name="表体数字 2 43 7" xfId="14440"/>
    <cellStyle name="表体数字 2 43 8" xfId="14442"/>
    <cellStyle name="表体数字 2 43 9" xfId="12289"/>
    <cellStyle name="表体数字 2 44" xfId="2561"/>
    <cellStyle name="表体数字 2 44 10" xfId="3683"/>
    <cellStyle name="表体数字 2 44 2" xfId="3693"/>
    <cellStyle name="表体数字 2 44 2 2" xfId="3702"/>
    <cellStyle name="表体数字 2 44 2 3" xfId="3708"/>
    <cellStyle name="表体数字 2 44 2 4" xfId="14444"/>
    <cellStyle name="表体数字 2 44 2 5" xfId="14448"/>
    <cellStyle name="表体数字 2 44 2 6" xfId="14450"/>
    <cellStyle name="表体数字 2 44 2 7" xfId="14452"/>
    <cellStyle name="表体数字 2 44 2 8" xfId="14454"/>
    <cellStyle name="表体数字 2 44 3" xfId="3716"/>
    <cellStyle name="表体数字 2 44 3 2" xfId="3727"/>
    <cellStyle name="表体数字 2 44 3 3" xfId="167"/>
    <cellStyle name="表体数字 2 44 3 4" xfId="14458"/>
    <cellStyle name="表体数字 2 44 3 5" xfId="14463"/>
    <cellStyle name="表体数字 2 44 3 6" xfId="14466"/>
    <cellStyle name="表体数字 2 44 3 7" xfId="14469"/>
    <cellStyle name="表体数字 2 44 3 8" xfId="14472"/>
    <cellStyle name="表体数字 2 44 4" xfId="3732"/>
    <cellStyle name="表体数字 2 44 5" xfId="3750"/>
    <cellStyle name="表体数字 2 44 6" xfId="3767"/>
    <cellStyle name="表体数字 2 44 7" xfId="3775"/>
    <cellStyle name="表体数字 2 44 8" xfId="3783"/>
    <cellStyle name="表体数字 2 44 9" xfId="3803"/>
    <cellStyle name="表体数字 2 45" xfId="2570"/>
    <cellStyle name="表体数字 2 45 10" xfId="3821"/>
    <cellStyle name="表体数字 2 45 2" xfId="3831"/>
    <cellStyle name="表体数字 2 45 2 2" xfId="3839"/>
    <cellStyle name="表体数字 2 45 2 3" xfId="3844"/>
    <cellStyle name="表体数字 2 45 2 4" xfId="14508"/>
    <cellStyle name="表体数字 2 45 2 5" xfId="14512"/>
    <cellStyle name="表体数字 2 45 2 6" xfId="14514"/>
    <cellStyle name="表体数字 2 45 2 7" xfId="14516"/>
    <cellStyle name="表体数字 2 45 2 8" xfId="8572"/>
    <cellStyle name="表体数字 2 45 3" xfId="3855"/>
    <cellStyle name="表体数字 2 45 3 2" xfId="3862"/>
    <cellStyle name="表体数字 2 45 3 3" xfId="3875"/>
    <cellStyle name="表体数字 2 45 3 4" xfId="14518"/>
    <cellStyle name="表体数字 2 45 3 5" xfId="14523"/>
    <cellStyle name="表体数字 2 45 3 6" xfId="14526"/>
    <cellStyle name="表体数字 2 45 3 7" xfId="14529"/>
    <cellStyle name="表体数字 2 45 3 8" xfId="14532"/>
    <cellStyle name="表体数字 2 45 4" xfId="3894"/>
    <cellStyle name="表体数字 2 45 5" xfId="3903"/>
    <cellStyle name="表体数字 2 45 6" xfId="3908"/>
    <cellStyle name="表体数字 2 45 7" xfId="3919"/>
    <cellStyle name="表体数字 2 45 8" xfId="3927"/>
    <cellStyle name="表体数字 2 45 9" xfId="3949"/>
    <cellStyle name="表体数字 2 46" xfId="2576"/>
    <cellStyle name="表体数字 2 46 10" xfId="14536"/>
    <cellStyle name="表体数字 2 46 2" xfId="3969"/>
    <cellStyle name="表体数字 2 46 2 2" xfId="9352"/>
    <cellStyle name="表体数字 2 46 2 3" xfId="9363"/>
    <cellStyle name="表体数字 2 46 2 4" xfId="9373"/>
    <cellStyle name="表体数字 2 46 2 5" xfId="9381"/>
    <cellStyle name="表体数字 2 46 2 6" xfId="14538"/>
    <cellStyle name="表体数字 2 46 2 7" xfId="14540"/>
    <cellStyle name="表体数字 2 46 2 8" xfId="14542"/>
    <cellStyle name="表体数字 2 46 3" xfId="3979"/>
    <cellStyle name="表体数字 2 46 3 2" xfId="14546"/>
    <cellStyle name="表体数字 2 46 3 3" xfId="14550"/>
    <cellStyle name="表体数字 2 46 3 4" xfId="14554"/>
    <cellStyle name="表体数字 2 46 3 5" xfId="14558"/>
    <cellStyle name="表体数字 2 46 3 6" xfId="14561"/>
    <cellStyle name="表体数字 2 46 3 7" xfId="14564"/>
    <cellStyle name="表体数字 2 46 3 8" xfId="14567"/>
    <cellStyle name="表体数字 2 46 4" xfId="14571"/>
    <cellStyle name="表体数字 2 46 5" xfId="14573"/>
    <cellStyle name="表体数字 2 46 6" xfId="14575"/>
    <cellStyle name="表体数字 2 46 7" xfId="14577"/>
    <cellStyle name="表体数字 2 46 8" xfId="14579"/>
    <cellStyle name="表体数字 2 46 9" xfId="14581"/>
    <cellStyle name="表体数字 2 47" xfId="3991"/>
    <cellStyle name="表体数字 2 47 10" xfId="14583"/>
    <cellStyle name="表体数字 2 47 2" xfId="14585"/>
    <cellStyle name="表体数字 2 47 2 2" xfId="8730"/>
    <cellStyle name="表体数字 2 47 2 3" xfId="8735"/>
    <cellStyle name="表体数字 2 47 2 4" xfId="8740"/>
    <cellStyle name="表体数字 2 47 2 5" xfId="8746"/>
    <cellStyle name="表体数字 2 47 2 6" xfId="8749"/>
    <cellStyle name="表体数字 2 47 2 7" xfId="14587"/>
    <cellStyle name="表体数字 2 47 2 8" xfId="14589"/>
    <cellStyle name="表体数字 2 47 3" xfId="14593"/>
    <cellStyle name="表体数字 2 47 3 2" xfId="14595"/>
    <cellStyle name="表体数字 2 47 3 3" xfId="14598"/>
    <cellStyle name="表体数字 2 47 3 4" xfId="14601"/>
    <cellStyle name="表体数字 2 47 3 5" xfId="14604"/>
    <cellStyle name="表体数字 2 47 3 6" xfId="14606"/>
    <cellStyle name="表体数字 2 47 3 7" xfId="14608"/>
    <cellStyle name="表体数字 2 47 3 8" xfId="14610"/>
    <cellStyle name="表体数字 2 47 4" xfId="14614"/>
    <cellStyle name="表体数字 2 47 5" xfId="14616"/>
    <cellStyle name="表体数字 2 47 6" xfId="14618"/>
    <cellStyle name="表体数字 2 47 7" xfId="14620"/>
    <cellStyle name="表体数字 2 47 8" xfId="14622"/>
    <cellStyle name="表体数字 2 47 9" xfId="14624"/>
    <cellStyle name="表体数字 2 48" xfId="3995"/>
    <cellStyle name="表体数字 2 48 10" xfId="14626"/>
    <cellStyle name="表体数字 2 48 2" xfId="14628"/>
    <cellStyle name="表体数字 2 48 2 2" xfId="14630"/>
    <cellStyle name="表体数字 2 48 2 3" xfId="14632"/>
    <cellStyle name="表体数字 2 48 2 4" xfId="14634"/>
    <cellStyle name="表体数字 2 48 2 5" xfId="14638"/>
    <cellStyle name="表体数字 2 48 2 6" xfId="14640"/>
    <cellStyle name="表体数字 2 48 2 7" xfId="14642"/>
    <cellStyle name="表体数字 2 48 2 8" xfId="14644"/>
    <cellStyle name="表体数字 2 48 3" xfId="14648"/>
    <cellStyle name="表体数字 2 48 3 2" xfId="14650"/>
    <cellStyle name="表体数字 2 48 3 3" xfId="14652"/>
    <cellStyle name="表体数字 2 48 3 4" xfId="14654"/>
    <cellStyle name="表体数字 2 48 3 5" xfId="14656"/>
    <cellStyle name="表体数字 2 48 3 6" xfId="14658"/>
    <cellStyle name="表体数字 2 48 3 7" xfId="14660"/>
    <cellStyle name="表体数字 2 48 3 8" xfId="14662"/>
    <cellStyle name="表体数字 2 48 4" xfId="14666"/>
    <cellStyle name="表体数字 2 48 5" xfId="14668"/>
    <cellStyle name="表体数字 2 48 6" xfId="14670"/>
    <cellStyle name="表体数字 2 48 7" xfId="14672"/>
    <cellStyle name="表体数字 2 48 8" xfId="14674"/>
    <cellStyle name="表体数字 2 48 9" xfId="14676"/>
    <cellStyle name="表体数字 2 49" xfId="3998"/>
    <cellStyle name="表体数字 2 49 10" xfId="14678"/>
    <cellStyle name="表体数字 2 49 2" xfId="4001"/>
    <cellStyle name="表体数字 2 49 2 2" xfId="14680"/>
    <cellStyle name="表体数字 2 49 2 3" xfId="14682"/>
    <cellStyle name="表体数字 2 49 2 4" xfId="14686"/>
    <cellStyle name="表体数字 2 49 2 5" xfId="14692"/>
    <cellStyle name="表体数字 2 49 2 6" xfId="14696"/>
    <cellStyle name="表体数字 2 49 2 7" xfId="14700"/>
    <cellStyle name="表体数字 2 49 2 8" xfId="14704"/>
    <cellStyle name="表体数字 2 49 3" xfId="4006"/>
    <cellStyle name="表体数字 2 49 3 2" xfId="14710"/>
    <cellStyle name="表体数字 2 49 3 3" xfId="14712"/>
    <cellStyle name="表体数字 2 49 3 4" xfId="14716"/>
    <cellStyle name="表体数字 2 49 3 5" xfId="14720"/>
    <cellStyle name="表体数字 2 49 3 6" xfId="14724"/>
    <cellStyle name="表体数字 2 49 3 7" xfId="14728"/>
    <cellStyle name="表体数字 2 49 3 8" xfId="14732"/>
    <cellStyle name="表体数字 2 49 4" xfId="14738"/>
    <cellStyle name="表体数字 2 49 5" xfId="14740"/>
    <cellStyle name="表体数字 2 49 6" xfId="14742"/>
    <cellStyle name="表体数字 2 49 7" xfId="14744"/>
    <cellStyle name="表体数字 2 49 8" xfId="14746"/>
    <cellStyle name="表体数字 2 49 9" xfId="14748"/>
    <cellStyle name="表体数字 2 5" xfId="14750"/>
    <cellStyle name="表体数字 2 5 10" xfId="14751"/>
    <cellStyle name="表体数字 2 5 2" xfId="14752"/>
    <cellStyle name="表体数字 2 5 2 2" xfId="14753"/>
    <cellStyle name="表体数字 2 5 2 3" xfId="14754"/>
    <cellStyle name="表体数字 2 5 2 4" xfId="14755"/>
    <cellStyle name="表体数字 2 5 2 5" xfId="14756"/>
    <cellStyle name="表体数字 2 5 2 6" xfId="14757"/>
    <cellStyle name="表体数字 2 5 2 7" xfId="14758"/>
    <cellStyle name="表体数字 2 5 2 8" xfId="14759"/>
    <cellStyle name="表体数字 2 5 3" xfId="14760"/>
    <cellStyle name="表体数字 2 5 3 2" xfId="14761"/>
    <cellStyle name="表体数字 2 5 3 3" xfId="14762"/>
    <cellStyle name="表体数字 2 5 3 4" xfId="14763"/>
    <cellStyle name="表体数字 2 5 3 5" xfId="14764"/>
    <cellStyle name="表体数字 2 5 3 6" xfId="14765"/>
    <cellStyle name="表体数字 2 5 3 7" xfId="14766"/>
    <cellStyle name="表体数字 2 5 3 8" xfId="14767"/>
    <cellStyle name="表体数字 2 5 4" xfId="14768"/>
    <cellStyle name="表体数字 2 5 5" xfId="14769"/>
    <cellStyle name="表体数字 2 5 6" xfId="14770"/>
    <cellStyle name="表体数字 2 5 7" xfId="14771"/>
    <cellStyle name="表体数字 2 5 8" xfId="14772"/>
    <cellStyle name="表体数字 2 5 9" xfId="14773"/>
    <cellStyle name="表体数字 2 50" xfId="2569"/>
    <cellStyle name="表体数字 2 50 10" xfId="3820"/>
    <cellStyle name="表体数字 2 50 2" xfId="3830"/>
    <cellStyle name="表体数字 2 50 2 2" xfId="3838"/>
    <cellStyle name="表体数字 2 50 2 3" xfId="3843"/>
    <cellStyle name="表体数字 2 50 2 4" xfId="14509"/>
    <cellStyle name="表体数字 2 50 2 5" xfId="14513"/>
    <cellStyle name="表体数字 2 50 2 6" xfId="14515"/>
    <cellStyle name="表体数字 2 50 2 7" xfId="14517"/>
    <cellStyle name="表体数字 2 50 2 8" xfId="8573"/>
    <cellStyle name="表体数字 2 50 3" xfId="3854"/>
    <cellStyle name="表体数字 2 50 3 2" xfId="3861"/>
    <cellStyle name="表体数字 2 50 3 3" xfId="3874"/>
    <cellStyle name="表体数字 2 50 3 4" xfId="14519"/>
    <cellStyle name="表体数字 2 50 3 5" xfId="14524"/>
    <cellStyle name="表体数字 2 50 3 6" xfId="14527"/>
    <cellStyle name="表体数字 2 50 3 7" xfId="14530"/>
    <cellStyle name="表体数字 2 50 3 8" xfId="14533"/>
    <cellStyle name="表体数字 2 50 4" xfId="3893"/>
    <cellStyle name="表体数字 2 50 5" xfId="3902"/>
    <cellStyle name="表体数字 2 50 6" xfId="3907"/>
    <cellStyle name="表体数字 2 50 7" xfId="3918"/>
    <cellStyle name="表体数字 2 50 8" xfId="3926"/>
    <cellStyle name="表体数字 2 50 9" xfId="3948"/>
    <cellStyle name="表体数字 2 51" xfId="2575"/>
    <cellStyle name="表体数字 2 51 10" xfId="14537"/>
    <cellStyle name="表体数字 2 51 2" xfId="3968"/>
    <cellStyle name="表体数字 2 51 2 2" xfId="9353"/>
    <cellStyle name="表体数字 2 51 2 3" xfId="9364"/>
    <cellStyle name="表体数字 2 51 2 4" xfId="9374"/>
    <cellStyle name="表体数字 2 51 2 5" xfId="9382"/>
    <cellStyle name="表体数字 2 51 2 6" xfId="14539"/>
    <cellStyle name="表体数字 2 51 2 7" xfId="14541"/>
    <cellStyle name="表体数字 2 51 2 8" xfId="14543"/>
    <cellStyle name="表体数字 2 51 3" xfId="3978"/>
    <cellStyle name="表体数字 2 51 3 2" xfId="14547"/>
    <cellStyle name="表体数字 2 51 3 3" xfId="14551"/>
    <cellStyle name="表体数字 2 51 3 4" xfId="14555"/>
    <cellStyle name="表体数字 2 51 3 5" xfId="14559"/>
    <cellStyle name="表体数字 2 51 3 6" xfId="14562"/>
    <cellStyle name="表体数字 2 51 3 7" xfId="14565"/>
    <cellStyle name="表体数字 2 51 3 8" xfId="14568"/>
    <cellStyle name="表体数字 2 51 4" xfId="14572"/>
    <cellStyle name="表体数字 2 51 5" xfId="14574"/>
    <cellStyle name="表体数字 2 51 6" xfId="14576"/>
    <cellStyle name="表体数字 2 51 7" xfId="14578"/>
    <cellStyle name="表体数字 2 51 8" xfId="14580"/>
    <cellStyle name="表体数字 2 51 9" xfId="14582"/>
    <cellStyle name="表体数字 2 52" xfId="3990"/>
    <cellStyle name="表体数字 2 52 10" xfId="14584"/>
    <cellStyle name="表体数字 2 52 2" xfId="14586"/>
    <cellStyle name="表体数字 2 52 2 2" xfId="8731"/>
    <cellStyle name="表体数字 2 52 2 3" xfId="8736"/>
    <cellStyle name="表体数字 2 52 2 4" xfId="8741"/>
    <cellStyle name="表体数字 2 52 2 5" xfId="8747"/>
    <cellStyle name="表体数字 2 52 2 6" xfId="8750"/>
    <cellStyle name="表体数字 2 52 2 7" xfId="14588"/>
    <cellStyle name="表体数字 2 52 2 8" xfId="14590"/>
    <cellStyle name="表体数字 2 52 3" xfId="14594"/>
    <cellStyle name="表体数字 2 52 3 2" xfId="14596"/>
    <cellStyle name="表体数字 2 52 3 3" xfId="14599"/>
    <cellStyle name="表体数字 2 52 3 4" xfId="14602"/>
    <cellStyle name="表体数字 2 52 3 5" xfId="14605"/>
    <cellStyle name="表体数字 2 52 3 6" xfId="14607"/>
    <cellStyle name="表体数字 2 52 3 7" xfId="14609"/>
    <cellStyle name="表体数字 2 52 3 8" xfId="14611"/>
    <cellStyle name="表体数字 2 52 4" xfId="14615"/>
    <cellStyle name="表体数字 2 52 5" xfId="14617"/>
    <cellStyle name="表体数字 2 52 6" xfId="14619"/>
    <cellStyle name="表体数字 2 52 7" xfId="14621"/>
    <cellStyle name="表体数字 2 52 8" xfId="14623"/>
    <cellStyle name="表体数字 2 52 9" xfId="14625"/>
    <cellStyle name="表体数字 2 53" xfId="3994"/>
    <cellStyle name="表体数字 2 53 10" xfId="14627"/>
    <cellStyle name="表体数字 2 53 2" xfId="14629"/>
    <cellStyle name="表体数字 2 53 2 2" xfId="14631"/>
    <cellStyle name="表体数字 2 53 2 3" xfId="14633"/>
    <cellStyle name="表体数字 2 53 2 4" xfId="14635"/>
    <cellStyle name="表体数字 2 53 2 5" xfId="14639"/>
    <cellStyle name="表体数字 2 53 2 6" xfId="14641"/>
    <cellStyle name="表体数字 2 53 2 7" xfId="14643"/>
    <cellStyle name="表体数字 2 53 2 8" xfId="14645"/>
    <cellStyle name="表体数字 2 53 3" xfId="14649"/>
    <cellStyle name="表体数字 2 53 3 2" xfId="14651"/>
    <cellStyle name="表体数字 2 53 3 3" xfId="14653"/>
    <cellStyle name="表体数字 2 53 3 4" xfId="14655"/>
    <cellStyle name="表体数字 2 53 3 5" xfId="14657"/>
    <cellStyle name="表体数字 2 53 3 6" xfId="14659"/>
    <cellStyle name="表体数字 2 53 3 7" xfId="14661"/>
    <cellStyle name="表体数字 2 53 3 8" xfId="14663"/>
    <cellStyle name="表体数字 2 53 4" xfId="14667"/>
    <cellStyle name="表体数字 2 53 5" xfId="14669"/>
    <cellStyle name="表体数字 2 53 6" xfId="14671"/>
    <cellStyle name="表体数字 2 53 7" xfId="14673"/>
    <cellStyle name="表体数字 2 53 8" xfId="14675"/>
    <cellStyle name="表体数字 2 53 9" xfId="14677"/>
    <cellStyle name="表体数字 2 54" xfId="3997"/>
    <cellStyle name="表体数字 2 54 10" xfId="14679"/>
    <cellStyle name="表体数字 2 54 2" xfId="4000"/>
    <cellStyle name="表体数字 2 54 2 2" xfId="14681"/>
    <cellStyle name="表体数字 2 54 2 3" xfId="14683"/>
    <cellStyle name="表体数字 2 54 2 4" xfId="14687"/>
    <cellStyle name="表体数字 2 54 2 5" xfId="14693"/>
    <cellStyle name="表体数字 2 54 2 6" xfId="14697"/>
    <cellStyle name="表体数字 2 54 2 7" xfId="14701"/>
    <cellStyle name="表体数字 2 54 2 8" xfId="14705"/>
    <cellStyle name="表体数字 2 54 3" xfId="4005"/>
    <cellStyle name="表体数字 2 54 3 2" xfId="14711"/>
    <cellStyle name="表体数字 2 54 3 3" xfId="14713"/>
    <cellStyle name="表体数字 2 54 3 4" xfId="14717"/>
    <cellStyle name="表体数字 2 54 3 5" xfId="14721"/>
    <cellStyle name="表体数字 2 54 3 6" xfId="14725"/>
    <cellStyle name="表体数字 2 54 3 7" xfId="14729"/>
    <cellStyle name="表体数字 2 54 3 8" xfId="14733"/>
    <cellStyle name="表体数字 2 54 4" xfId="14739"/>
    <cellStyle name="表体数字 2 54 5" xfId="14741"/>
    <cellStyle name="表体数字 2 54 6" xfId="14743"/>
    <cellStyle name="表体数字 2 54 7" xfId="14745"/>
    <cellStyle name="表体数字 2 54 8" xfId="14747"/>
    <cellStyle name="表体数字 2 54 9" xfId="14749"/>
    <cellStyle name="表体数字 2 55" xfId="4011"/>
    <cellStyle name="表体数字 2 55 10" xfId="14774"/>
    <cellStyle name="表体数字 2 55 2" xfId="14776"/>
    <cellStyle name="表体数字 2 55 2 2" xfId="14778"/>
    <cellStyle name="表体数字 2 55 2 3" xfId="14780"/>
    <cellStyle name="表体数字 2 55 2 4" xfId="14783"/>
    <cellStyle name="表体数字 2 55 2 5" xfId="14788"/>
    <cellStyle name="表体数字 2 55 2 6" xfId="14791"/>
    <cellStyle name="表体数字 2 55 2 7" xfId="14794"/>
    <cellStyle name="表体数字 2 55 2 8" xfId="14797"/>
    <cellStyle name="表体数字 2 55 3" xfId="14802"/>
    <cellStyle name="表体数字 2 55 3 2" xfId="14804"/>
    <cellStyle name="表体数字 2 55 3 3" xfId="14806"/>
    <cellStyle name="表体数字 2 55 3 4" xfId="14808"/>
    <cellStyle name="表体数字 2 55 3 5" xfId="14810"/>
    <cellStyle name="表体数字 2 55 3 6" xfId="14812"/>
    <cellStyle name="表体数字 2 55 3 7" xfId="14814"/>
    <cellStyle name="表体数字 2 55 3 8" xfId="14816"/>
    <cellStyle name="表体数字 2 55 4" xfId="14820"/>
    <cellStyle name="表体数字 2 55 5" xfId="14822"/>
    <cellStyle name="表体数字 2 55 6" xfId="14824"/>
    <cellStyle name="表体数字 2 55 7" xfId="14826"/>
    <cellStyle name="表体数字 2 55 8" xfId="14828"/>
    <cellStyle name="表体数字 2 55 9" xfId="14830"/>
    <cellStyle name="表体数字 2 56" xfId="4014"/>
    <cellStyle name="表体数字 2 56 10" xfId="14832"/>
    <cellStyle name="表体数字 2 56 2" xfId="4017"/>
    <cellStyle name="表体数字 2 56 2 2" xfId="14834"/>
    <cellStyle name="表体数字 2 56 2 3" xfId="14836"/>
    <cellStyle name="表体数字 2 56 2 4" xfId="14838"/>
    <cellStyle name="表体数字 2 56 2 5" xfId="14842"/>
    <cellStyle name="表体数字 2 56 2 6" xfId="14844"/>
    <cellStyle name="表体数字 2 56 2 7" xfId="14846"/>
    <cellStyle name="表体数字 2 56 2 8" xfId="14848"/>
    <cellStyle name="表体数字 2 56 3" xfId="4023"/>
    <cellStyle name="表体数字 2 56 3 2" xfId="14852"/>
    <cellStyle name="表体数字 2 56 3 3" xfId="14854"/>
    <cellStyle name="表体数字 2 56 3 4" xfId="14856"/>
    <cellStyle name="表体数字 2 56 3 5" xfId="14858"/>
    <cellStyle name="表体数字 2 56 3 6" xfId="14860"/>
    <cellStyle name="表体数字 2 56 3 7" xfId="14862"/>
    <cellStyle name="表体数字 2 56 3 8" xfId="14864"/>
    <cellStyle name="表体数字 2 56 4" xfId="14868"/>
    <cellStyle name="表体数字 2 56 5" xfId="14870"/>
    <cellStyle name="表体数字 2 56 6" xfId="14872"/>
    <cellStyle name="表体数字 2 56 7" xfId="14874"/>
    <cellStyle name="表体数字 2 56 8" xfId="14876"/>
    <cellStyle name="表体数字 2 56 9" xfId="14878"/>
    <cellStyle name="表体数字 2 57" xfId="14880"/>
    <cellStyle name="表体数字 2 57 10" xfId="14882"/>
    <cellStyle name="表体数字 2 57 2" xfId="14884"/>
    <cellStyle name="表体数字 2 57 2 2" xfId="14887"/>
    <cellStyle name="表体数字 2 57 2 3" xfId="14889"/>
    <cellStyle name="表体数字 2 57 2 4" xfId="14891"/>
    <cellStyle name="表体数字 2 57 2 5" xfId="14894"/>
    <cellStyle name="表体数字 2 57 2 6" xfId="14896"/>
    <cellStyle name="表体数字 2 57 2 7" xfId="14898"/>
    <cellStyle name="表体数字 2 57 2 8" xfId="14900"/>
    <cellStyle name="表体数字 2 57 3" xfId="14906"/>
    <cellStyle name="表体数字 2 57 3 2" xfId="14909"/>
    <cellStyle name="表体数字 2 57 3 3" xfId="14912"/>
    <cellStyle name="表体数字 2 57 3 4" xfId="14914"/>
    <cellStyle name="表体数字 2 57 3 5" xfId="14916"/>
    <cellStyle name="表体数字 2 57 3 6" xfId="14918"/>
    <cellStyle name="表体数字 2 57 3 7" xfId="14920"/>
    <cellStyle name="表体数字 2 57 3 8" xfId="14922"/>
    <cellStyle name="表体数字 2 57 4" xfId="14928"/>
    <cellStyle name="表体数字 2 57 5" xfId="14931"/>
    <cellStyle name="表体数字 2 57 6" xfId="14934"/>
    <cellStyle name="表体数字 2 57 7" xfId="14936"/>
    <cellStyle name="表体数字 2 57 8" xfId="14938"/>
    <cellStyle name="表体数字 2 57 9" xfId="14940"/>
    <cellStyle name="表体数字 2 58" xfId="14942"/>
    <cellStyle name="表体数字 2 58 10" xfId="14944"/>
    <cellStyle name="表体数字 2 58 2" xfId="14946"/>
    <cellStyle name="表体数字 2 58 2 2" xfId="14951"/>
    <cellStyle name="表体数字 2 58 2 3" xfId="14953"/>
    <cellStyle name="表体数字 2 58 2 4" xfId="14955"/>
    <cellStyle name="表体数字 2 58 2 5" xfId="14957"/>
    <cellStyle name="表体数字 2 58 2 6" xfId="14960"/>
    <cellStyle name="表体数字 2 58 2 7" xfId="14964"/>
    <cellStyle name="表体数字 2 58 2 8" xfId="14968"/>
    <cellStyle name="表体数字 2 58 3" xfId="14974"/>
    <cellStyle name="表体数字 2 58 3 2" xfId="14978"/>
    <cellStyle name="表体数字 2 58 3 3" xfId="14981"/>
    <cellStyle name="表体数字 2 58 3 4" xfId="14983"/>
    <cellStyle name="表体数字 2 58 3 5" xfId="14985"/>
    <cellStyle name="表体数字 2 58 3 6" xfId="14988"/>
    <cellStyle name="表体数字 2 58 3 7" xfId="14993"/>
    <cellStyle name="表体数字 2 58 3 8" xfId="14998"/>
    <cellStyle name="表体数字 2 58 4" xfId="15005"/>
    <cellStyle name="表体数字 2 58 5" xfId="15009"/>
    <cellStyle name="表体数字 2 58 6" xfId="15013"/>
    <cellStyle name="表体数字 2 58 7" xfId="15015"/>
    <cellStyle name="表体数字 2 58 8" xfId="15017"/>
    <cellStyle name="表体数字 2 58 9" xfId="15019"/>
    <cellStyle name="表体数字 2 59" xfId="15021"/>
    <cellStyle name="表体数字 2 59 10" xfId="15023"/>
    <cellStyle name="表体数字 2 59 2" xfId="15025"/>
    <cellStyle name="表体数字 2 59 2 2" xfId="15029"/>
    <cellStyle name="表体数字 2 59 2 3" xfId="15031"/>
    <cellStyle name="表体数字 2 59 2 4" xfId="15033"/>
    <cellStyle name="表体数字 2 59 2 5" xfId="15035"/>
    <cellStyle name="表体数字 2 59 2 6" xfId="15038"/>
    <cellStyle name="表体数字 2 59 2 7" xfId="15043"/>
    <cellStyle name="表体数字 2 59 2 8" xfId="15049"/>
    <cellStyle name="表体数字 2 59 3" xfId="15056"/>
    <cellStyle name="表体数字 2 59 3 2" xfId="15060"/>
    <cellStyle name="表体数字 2 59 3 3" xfId="15062"/>
    <cellStyle name="表体数字 2 59 3 4" xfId="15064"/>
    <cellStyle name="表体数字 2 59 3 5" xfId="15066"/>
    <cellStyle name="表体数字 2 59 3 6" xfId="15069"/>
    <cellStyle name="表体数字 2 59 3 7" xfId="15073"/>
    <cellStyle name="表体数字 2 59 3 8" xfId="15077"/>
    <cellStyle name="表体数字 2 59 4" xfId="15083"/>
    <cellStyle name="表体数字 2 59 5" xfId="15087"/>
    <cellStyle name="表体数字 2 59 6" xfId="15091"/>
    <cellStyle name="表体数字 2 59 7" xfId="15093"/>
    <cellStyle name="表体数字 2 59 8" xfId="15095"/>
    <cellStyle name="表体数字 2 59 9" xfId="15097"/>
    <cellStyle name="表体数字 2 6" xfId="15099"/>
    <cellStyle name="表体数字 2 6 10" xfId="15100"/>
    <cellStyle name="表体数字 2 6 2" xfId="15103"/>
    <cellStyle name="表体数字 2 6 2 2" xfId="15104"/>
    <cellStyle name="表体数字 2 6 2 3" xfId="15105"/>
    <cellStyle name="表体数字 2 6 2 4" xfId="15106"/>
    <cellStyle name="表体数字 2 6 2 5" xfId="15107"/>
    <cellStyle name="表体数字 2 6 2 6" xfId="15108"/>
    <cellStyle name="表体数字 2 6 2 7" xfId="15109"/>
    <cellStyle name="表体数字 2 6 2 8" xfId="15110"/>
    <cellStyle name="表体数字 2 6 3" xfId="15111"/>
    <cellStyle name="表体数字 2 6 3 2" xfId="15112"/>
    <cellStyle name="表体数字 2 6 3 3" xfId="15113"/>
    <cellStyle name="表体数字 2 6 3 4" xfId="15114"/>
    <cellStyle name="表体数字 2 6 3 5" xfId="15115"/>
    <cellStyle name="表体数字 2 6 3 6" xfId="15116"/>
    <cellStyle name="表体数字 2 6 3 7" xfId="15117"/>
    <cellStyle name="表体数字 2 6 3 8" xfId="15118"/>
    <cellStyle name="表体数字 2 6 4" xfId="11884"/>
    <cellStyle name="表体数字 2 6 5" xfId="11923"/>
    <cellStyle name="表体数字 2 6 6" xfId="11964"/>
    <cellStyle name="表体数字 2 6 7" xfId="11969"/>
    <cellStyle name="表体数字 2 6 8" xfId="11971"/>
    <cellStyle name="表体数字 2 6 9" xfId="11973"/>
    <cellStyle name="表体数字 2 60" xfId="4010"/>
    <cellStyle name="表体数字 2 60 10" xfId="14775"/>
    <cellStyle name="表体数字 2 60 2" xfId="14777"/>
    <cellStyle name="表体数字 2 60 2 2" xfId="14779"/>
    <cellStyle name="表体数字 2 60 2 3" xfId="14781"/>
    <cellStyle name="表体数字 2 60 2 4" xfId="14784"/>
    <cellStyle name="表体数字 2 60 2 5" xfId="14789"/>
    <cellStyle name="表体数字 2 60 2 6" xfId="14792"/>
    <cellStyle name="表体数字 2 60 2 7" xfId="14795"/>
    <cellStyle name="表体数字 2 60 2 8" xfId="14798"/>
    <cellStyle name="表体数字 2 60 3" xfId="14803"/>
    <cellStyle name="表体数字 2 60 3 2" xfId="14805"/>
    <cellStyle name="表体数字 2 60 3 3" xfId="14807"/>
    <cellStyle name="表体数字 2 60 3 4" xfId="14809"/>
    <cellStyle name="表体数字 2 60 3 5" xfId="14811"/>
    <cellStyle name="表体数字 2 60 3 6" xfId="14813"/>
    <cellStyle name="表体数字 2 60 3 7" xfId="14815"/>
    <cellStyle name="表体数字 2 60 3 8" xfId="14817"/>
    <cellStyle name="表体数字 2 60 4" xfId="14821"/>
    <cellStyle name="表体数字 2 60 5" xfId="14823"/>
    <cellStyle name="表体数字 2 60 6" xfId="14825"/>
    <cellStyle name="表体数字 2 60 7" xfId="14827"/>
    <cellStyle name="表体数字 2 60 8" xfId="14829"/>
    <cellStyle name="表体数字 2 60 9" xfId="14831"/>
    <cellStyle name="表体数字 2 61" xfId="4013"/>
    <cellStyle name="表体数字 2 61 10" xfId="14833"/>
    <cellStyle name="表体数字 2 61 2" xfId="4016"/>
    <cellStyle name="表体数字 2 61 2 2" xfId="14835"/>
    <cellStyle name="表体数字 2 61 2 3" xfId="14837"/>
    <cellStyle name="表体数字 2 61 2 4" xfId="14839"/>
    <cellStyle name="表体数字 2 61 2 5" xfId="14843"/>
    <cellStyle name="表体数字 2 61 2 6" xfId="14845"/>
    <cellStyle name="表体数字 2 61 2 7" xfId="14847"/>
    <cellStyle name="表体数字 2 61 2 8" xfId="14849"/>
    <cellStyle name="表体数字 2 61 3" xfId="4022"/>
    <cellStyle name="表体数字 2 61 3 2" xfId="14853"/>
    <cellStyle name="表体数字 2 61 3 3" xfId="14855"/>
    <cellStyle name="表体数字 2 61 3 4" xfId="14857"/>
    <cellStyle name="表体数字 2 61 3 5" xfId="14859"/>
    <cellStyle name="表体数字 2 61 3 6" xfId="14861"/>
    <cellStyle name="表体数字 2 61 3 7" xfId="14863"/>
    <cellStyle name="表体数字 2 61 3 8" xfId="14865"/>
    <cellStyle name="表体数字 2 61 4" xfId="14869"/>
    <cellStyle name="表体数字 2 61 5" xfId="14871"/>
    <cellStyle name="表体数字 2 61 6" xfId="14873"/>
    <cellStyle name="表体数字 2 61 7" xfId="14875"/>
    <cellStyle name="表体数字 2 61 8" xfId="14877"/>
    <cellStyle name="表体数字 2 61 9" xfId="14879"/>
    <cellStyle name="表体数字 2 62" xfId="14881"/>
    <cellStyle name="表体数字 2 62 10" xfId="14883"/>
    <cellStyle name="表体数字 2 62 2" xfId="14885"/>
    <cellStyle name="表体数字 2 62 2 2" xfId="14888"/>
    <cellStyle name="表体数字 2 62 2 3" xfId="14890"/>
    <cellStyle name="表体数字 2 62 2 4" xfId="14892"/>
    <cellStyle name="表体数字 2 62 2 5" xfId="14895"/>
    <cellStyle name="表体数字 2 62 2 6" xfId="14897"/>
    <cellStyle name="表体数字 2 62 2 7" xfId="14899"/>
    <cellStyle name="表体数字 2 62 2 8" xfId="14901"/>
    <cellStyle name="表体数字 2 62 3" xfId="14907"/>
    <cellStyle name="表体数字 2 62 3 2" xfId="14910"/>
    <cellStyle name="表体数字 2 62 3 3" xfId="14913"/>
    <cellStyle name="表体数字 2 62 3 4" xfId="14915"/>
    <cellStyle name="表体数字 2 62 3 5" xfId="14917"/>
    <cellStyle name="表体数字 2 62 3 6" xfId="14919"/>
    <cellStyle name="表体数字 2 62 3 7" xfId="14921"/>
    <cellStyle name="表体数字 2 62 3 8" xfId="14923"/>
    <cellStyle name="表体数字 2 62 4" xfId="14929"/>
    <cellStyle name="表体数字 2 62 5" xfId="14932"/>
    <cellStyle name="表体数字 2 62 6" xfId="14935"/>
    <cellStyle name="表体数字 2 62 7" xfId="14937"/>
    <cellStyle name="表体数字 2 62 8" xfId="14939"/>
    <cellStyle name="表体数字 2 62 9" xfId="14941"/>
    <cellStyle name="表体数字 2 63" xfId="14943"/>
    <cellStyle name="表体数字 2 63 10" xfId="14945"/>
    <cellStyle name="表体数字 2 63 2" xfId="14947"/>
    <cellStyle name="表体数字 2 63 2 2" xfId="14952"/>
    <cellStyle name="表体数字 2 63 2 3" xfId="14954"/>
    <cellStyle name="表体数字 2 63 2 4" xfId="14956"/>
    <cellStyle name="表体数字 2 63 2 5" xfId="14958"/>
    <cellStyle name="表体数字 2 63 2 6" xfId="14961"/>
    <cellStyle name="表体数字 2 63 2 7" xfId="14965"/>
    <cellStyle name="表体数字 2 63 2 8" xfId="14969"/>
    <cellStyle name="表体数字 2 63 3" xfId="14975"/>
    <cellStyle name="表体数字 2 63 3 2" xfId="14979"/>
    <cellStyle name="表体数字 2 63 3 3" xfId="14982"/>
    <cellStyle name="表体数字 2 63 3 4" xfId="14984"/>
    <cellStyle name="表体数字 2 63 3 5" xfId="14986"/>
    <cellStyle name="表体数字 2 63 3 6" xfId="14989"/>
    <cellStyle name="表体数字 2 63 3 7" xfId="14994"/>
    <cellStyle name="表体数字 2 63 3 8" xfId="14999"/>
    <cellStyle name="表体数字 2 63 4" xfId="15006"/>
    <cellStyle name="表体数字 2 63 5" xfId="15010"/>
    <cellStyle name="表体数字 2 63 6" xfId="15014"/>
    <cellStyle name="表体数字 2 63 7" xfId="15016"/>
    <cellStyle name="表体数字 2 63 8" xfId="15018"/>
    <cellStyle name="表体数字 2 63 9" xfId="15020"/>
    <cellStyle name="表体数字 2 64" xfId="15022"/>
    <cellStyle name="表体数字 2 64 10" xfId="15024"/>
    <cellStyle name="表体数字 2 64 2" xfId="15026"/>
    <cellStyle name="表体数字 2 64 2 2" xfId="15030"/>
    <cellStyle name="表体数字 2 64 2 3" xfId="15032"/>
    <cellStyle name="表体数字 2 64 2 4" xfId="15034"/>
    <cellStyle name="表体数字 2 64 2 5" xfId="15036"/>
    <cellStyle name="表体数字 2 64 2 6" xfId="15039"/>
    <cellStyle name="表体数字 2 64 2 7" xfId="15044"/>
    <cellStyle name="表体数字 2 64 2 8" xfId="15050"/>
    <cellStyle name="表体数字 2 64 3" xfId="15057"/>
    <cellStyle name="表体数字 2 64 3 2" xfId="15061"/>
    <cellStyle name="表体数字 2 64 3 3" xfId="15063"/>
    <cellStyle name="表体数字 2 64 3 4" xfId="15065"/>
    <cellStyle name="表体数字 2 64 3 5" xfId="15067"/>
    <cellStyle name="表体数字 2 64 3 6" xfId="15070"/>
    <cellStyle name="表体数字 2 64 3 7" xfId="15074"/>
    <cellStyle name="表体数字 2 64 3 8" xfId="15078"/>
    <cellStyle name="表体数字 2 64 4" xfId="15084"/>
    <cellStyle name="表体数字 2 64 5" xfId="15088"/>
    <cellStyle name="表体数字 2 64 6" xfId="15092"/>
    <cellStyle name="表体数字 2 64 7" xfId="15094"/>
    <cellStyle name="表体数字 2 64 8" xfId="15096"/>
    <cellStyle name="表体数字 2 64 9" xfId="15098"/>
    <cellStyle name="表体数字 2 65" xfId="15119"/>
    <cellStyle name="表体数字 2 65 10" xfId="15121"/>
    <cellStyle name="表体数字 2 65 2" xfId="15122"/>
    <cellStyle name="表体数字 2 65 2 2" xfId="15123"/>
    <cellStyle name="表体数字 2 65 2 3" xfId="15124"/>
    <cellStyle name="表体数字 2 65 2 4" xfId="15125"/>
    <cellStyle name="表体数字 2 65 2 5" xfId="15126"/>
    <cellStyle name="表体数字 2 65 2 6" xfId="15128"/>
    <cellStyle name="表体数字 2 65 2 7" xfId="15130"/>
    <cellStyle name="表体数字 2 65 2 8" xfId="15134"/>
    <cellStyle name="表体数字 2 65 3" xfId="15138"/>
    <cellStyle name="表体数字 2 65 3 2" xfId="15139"/>
    <cellStyle name="表体数字 2 65 3 3" xfId="15140"/>
    <cellStyle name="表体数字 2 65 3 4" xfId="15141"/>
    <cellStyle name="表体数字 2 65 3 5" xfId="15142"/>
    <cellStyle name="表体数字 2 65 3 6" xfId="15144"/>
    <cellStyle name="表体数字 2 65 3 7" xfId="15146"/>
    <cellStyle name="表体数字 2 65 3 8" xfId="15148"/>
    <cellStyle name="表体数字 2 65 4" xfId="15152"/>
    <cellStyle name="表体数字 2 65 5" xfId="15153"/>
    <cellStyle name="表体数字 2 65 6" xfId="15154"/>
    <cellStyle name="表体数字 2 65 7" xfId="15155"/>
    <cellStyle name="表体数字 2 65 8" xfId="15156"/>
    <cellStyle name="表体数字 2 65 9" xfId="15157"/>
    <cellStyle name="表体数字 2 66" xfId="15158"/>
    <cellStyle name="表体数字 2 66 2" xfId="15160"/>
    <cellStyle name="表体数字 2 66 3" xfId="15161"/>
    <cellStyle name="表体数字 2 66 4" xfId="15162"/>
    <cellStyle name="表体数字 2 66 5" xfId="15163"/>
    <cellStyle name="表体数字 2 66 6" xfId="15164"/>
    <cellStyle name="表体数字 2 66 7" xfId="15165"/>
    <cellStyle name="表体数字 2 66 8" xfId="15166"/>
    <cellStyle name="表体数字 2 67" xfId="15167"/>
    <cellStyle name="表体数字 2 67 2" xfId="15169"/>
    <cellStyle name="表体数字 2 67 3" xfId="15170"/>
    <cellStyle name="表体数字 2 67 4" xfId="15171"/>
    <cellStyle name="表体数字 2 67 5" xfId="15172"/>
    <cellStyle name="表体数字 2 67 6" xfId="15173"/>
    <cellStyle name="表体数字 2 67 7" xfId="15174"/>
    <cellStyle name="表体数字 2 67 8" xfId="15175"/>
    <cellStyle name="表体数字 2 68" xfId="11672"/>
    <cellStyle name="表体数字 2 69" xfId="11677"/>
    <cellStyle name="表体数字 2 7" xfId="15176"/>
    <cellStyle name="表体数字 2 7 10" xfId="15177"/>
    <cellStyle name="表体数字 2 7 2" xfId="15178"/>
    <cellStyle name="表体数字 2 7 2 2" xfId="15179"/>
    <cellStyle name="表体数字 2 7 2 3" xfId="15180"/>
    <cellStyle name="表体数字 2 7 2 4" xfId="15181"/>
    <cellStyle name="表体数字 2 7 2 5" xfId="15182"/>
    <cellStyle name="表体数字 2 7 2 6" xfId="15183"/>
    <cellStyle name="表体数字 2 7 2 7" xfId="15184"/>
    <cellStyle name="表体数字 2 7 2 8" xfId="15185"/>
    <cellStyle name="表体数字 2 7 3" xfId="5756"/>
    <cellStyle name="表体数字 2 7 3 2" xfId="15186"/>
    <cellStyle name="表体数字 2 7 3 3" xfId="15187"/>
    <cellStyle name="表体数字 2 7 3 4" xfId="15188"/>
    <cellStyle name="表体数字 2 7 3 5" xfId="15189"/>
    <cellStyle name="表体数字 2 7 3 6" xfId="15190"/>
    <cellStyle name="表体数字 2 7 3 7" xfId="15191"/>
    <cellStyle name="表体数字 2 7 3 8" xfId="15192"/>
    <cellStyle name="表体数字 2 7 4" xfId="5543"/>
    <cellStyle name="表体数字 2 7 5" xfId="5549"/>
    <cellStyle name="表体数字 2 7 6" xfId="5555"/>
    <cellStyle name="表体数字 2 7 7" xfId="5564"/>
    <cellStyle name="表体数字 2 7 8" xfId="5572"/>
    <cellStyle name="表体数字 2 7 9" xfId="4796"/>
    <cellStyle name="表体数字 2 70" xfId="15120"/>
    <cellStyle name="表体数字 2 71" xfId="15159"/>
    <cellStyle name="表体数字 2 72" xfId="15168"/>
    <cellStyle name="表体数字 2 73" xfId="11673"/>
    <cellStyle name="表体数字 2 74" xfId="11678"/>
    <cellStyle name="表体数字 2 8" xfId="15193"/>
    <cellStyle name="表体数字 2 8 10" xfId="15194"/>
    <cellStyle name="表体数字 2 8 2" xfId="3674"/>
    <cellStyle name="表体数字 2 8 2 2" xfId="15195"/>
    <cellStyle name="表体数字 2 8 2 3" xfId="15196"/>
    <cellStyle name="表体数字 2 8 2 4" xfId="15197"/>
    <cellStyle name="表体数字 2 8 2 5" xfId="15198"/>
    <cellStyle name="表体数字 2 8 2 6" xfId="15199"/>
    <cellStyle name="表体数字 2 8 2 7" xfId="15200"/>
    <cellStyle name="表体数字 2 8 2 8" xfId="15201"/>
    <cellStyle name="表体数字 2 8 3" xfId="3678"/>
    <cellStyle name="表体数字 2 8 3 2" xfId="15202"/>
    <cellStyle name="表体数字 2 8 3 3" xfId="15203"/>
    <cellStyle name="表体数字 2 8 3 4" xfId="15204"/>
    <cellStyle name="表体数字 2 8 3 5" xfId="15205"/>
    <cellStyle name="表体数字 2 8 3 6" xfId="15206"/>
    <cellStyle name="表体数字 2 8 3 7" xfId="15207"/>
    <cellStyle name="表体数字 2 8 3 8" xfId="15208"/>
    <cellStyle name="表体数字 2 8 4" xfId="3680"/>
    <cellStyle name="表体数字 2 8 5" xfId="15209"/>
    <cellStyle name="表体数字 2 8 6" xfId="15210"/>
    <cellStyle name="表体数字 2 8 7" xfId="15211"/>
    <cellStyle name="表体数字 2 8 8" xfId="15212"/>
    <cellStyle name="表体数字 2 8 9" xfId="15213"/>
    <cellStyle name="表体数字 2 9" xfId="15214"/>
    <cellStyle name="表体数字 2 9 10" xfId="15215"/>
    <cellStyle name="表体数字 2 9 2" xfId="15216"/>
    <cellStyle name="表体数字 2 9 2 2" xfId="15217"/>
    <cellStyle name="表体数字 2 9 2 3" xfId="15218"/>
    <cellStyle name="表体数字 2 9 2 4" xfId="15219"/>
    <cellStyle name="表体数字 2 9 2 5" xfId="15220"/>
    <cellStyle name="表体数字 2 9 2 6" xfId="15221"/>
    <cellStyle name="表体数字 2 9 2 7" xfId="15222"/>
    <cellStyle name="表体数字 2 9 2 8" xfId="15223"/>
    <cellStyle name="表体数字 2 9 3" xfId="15224"/>
    <cellStyle name="表体数字 2 9 3 2" xfId="15225"/>
    <cellStyle name="表体数字 2 9 3 3" xfId="15226"/>
    <cellStyle name="表体数字 2 9 3 4" xfId="15227"/>
    <cellStyle name="表体数字 2 9 3 5" xfId="15228"/>
    <cellStyle name="表体数字 2 9 3 6" xfId="15229"/>
    <cellStyle name="表体数字 2 9 3 7" xfId="15230"/>
    <cellStyle name="表体数字 2 9 3 8" xfId="15231"/>
    <cellStyle name="表体数字 2 9 4" xfId="15232"/>
    <cellStyle name="表体数字 2 9 5" xfId="15233"/>
    <cellStyle name="表体数字 2 9 6" xfId="15234"/>
    <cellStyle name="表体数字 2 9 7" xfId="15235"/>
    <cellStyle name="表体数字 2 9 8" xfId="15236"/>
    <cellStyle name="表体数字 2 9 9" xfId="15237"/>
    <cellStyle name="表体数字 20" xfId="6019"/>
    <cellStyle name="表体数字 20 10" xfId="13072"/>
    <cellStyle name="表体数字 20 2" xfId="13074"/>
    <cellStyle name="表体数字 20 2 2" xfId="13078"/>
    <cellStyle name="表体数字 20 2 3" xfId="9923"/>
    <cellStyle name="表体数字 20 2 4" xfId="13080"/>
    <cellStyle name="表体数字 20 2 5" xfId="13082"/>
    <cellStyle name="表体数字 20 2 6" xfId="13084"/>
    <cellStyle name="表体数字 20 2 7" xfId="13086"/>
    <cellStyle name="表体数字 20 2 8" xfId="13088"/>
    <cellStyle name="表体数字 20 3" xfId="13090"/>
    <cellStyle name="表体数字 20 3 2" xfId="13094"/>
    <cellStyle name="表体数字 20 3 3" xfId="13096"/>
    <cellStyle name="表体数字 20 3 4" xfId="13098"/>
    <cellStyle name="表体数字 20 3 5" xfId="13100"/>
    <cellStyle name="表体数字 20 3 6" xfId="13102"/>
    <cellStyle name="表体数字 20 3 7" xfId="13104"/>
    <cellStyle name="表体数字 20 3 8" xfId="13106"/>
    <cellStyle name="表体数字 20 4" xfId="13108"/>
    <cellStyle name="表体数字 20 5" xfId="13112"/>
    <cellStyle name="表体数字 20 6" xfId="13116"/>
    <cellStyle name="表体数字 20 7" xfId="6380"/>
    <cellStyle name="表体数字 20 8" xfId="6618"/>
    <cellStyle name="表体数字 20 9" xfId="6622"/>
    <cellStyle name="表体数字 21" xfId="6025"/>
    <cellStyle name="表体数字 21 10" xfId="13118"/>
    <cellStyle name="表体数字 21 2" xfId="13123"/>
    <cellStyle name="表体数字 21 2 2" xfId="13127"/>
    <cellStyle name="表体数字 21 2 3" xfId="13131"/>
    <cellStyle name="表体数字 21 2 4" xfId="13135"/>
    <cellStyle name="表体数字 21 2 5" xfId="13139"/>
    <cellStyle name="表体数字 21 2 6" xfId="13143"/>
    <cellStyle name="表体数字 21 2 7" xfId="13147"/>
    <cellStyle name="表体数字 21 2 8" xfId="13151"/>
    <cellStyle name="表体数字 21 3" xfId="13155"/>
    <cellStyle name="表体数字 21 3 2" xfId="13159"/>
    <cellStyle name="表体数字 21 3 3" xfId="13161"/>
    <cellStyle name="表体数字 21 3 4" xfId="13163"/>
    <cellStyle name="表体数字 21 3 5" xfId="13165"/>
    <cellStyle name="表体数字 21 3 6" xfId="13167"/>
    <cellStyle name="表体数字 21 3 7" xfId="13169"/>
    <cellStyle name="表体数字 21 3 8" xfId="13171"/>
    <cellStyle name="表体数字 21 4" xfId="13173"/>
    <cellStyle name="表体数字 21 5" xfId="13177"/>
    <cellStyle name="表体数字 21 6" xfId="13181"/>
    <cellStyle name="表体数字 21 7" xfId="6643"/>
    <cellStyle name="表体数字 21 8" xfId="6646"/>
    <cellStyle name="表体数字 21 9" xfId="13184"/>
    <cellStyle name="表体数字 22" xfId="13186"/>
    <cellStyle name="表体数字 22 10" xfId="13188"/>
    <cellStyle name="表体数字 22 2" xfId="13190"/>
    <cellStyle name="表体数字 22 2 2" xfId="13194"/>
    <cellStyle name="表体数字 22 2 3" xfId="5810"/>
    <cellStyle name="表体数字 22 2 4" xfId="5814"/>
    <cellStyle name="表体数字 22 2 5" xfId="5819"/>
    <cellStyle name="表体数字 22 2 6" xfId="2044"/>
    <cellStyle name="表体数字 22 2 7" xfId="2055"/>
    <cellStyle name="表体数字 22 2 8" xfId="5823"/>
    <cellStyle name="表体数字 22 3" xfId="13196"/>
    <cellStyle name="表体数字 22 3 2" xfId="7749"/>
    <cellStyle name="表体数字 22 3 3" xfId="7763"/>
    <cellStyle name="表体数字 22 3 4" xfId="7778"/>
    <cellStyle name="表体数字 22 3 5" xfId="7790"/>
    <cellStyle name="表体数字 22 3 6" xfId="7800"/>
    <cellStyle name="表体数字 22 3 7" xfId="7806"/>
    <cellStyle name="表体数字 22 3 8" xfId="7821"/>
    <cellStyle name="表体数字 22 4" xfId="13200"/>
    <cellStyle name="表体数字 22 5" xfId="13204"/>
    <cellStyle name="表体数字 22 6" xfId="13208"/>
    <cellStyle name="表体数字 22 7" xfId="13210"/>
    <cellStyle name="表体数字 22 8" xfId="13212"/>
    <cellStyle name="表体数字 22 9" xfId="6403"/>
    <cellStyle name="表体数字 23" xfId="13214"/>
    <cellStyle name="表体数字 23 10" xfId="13216"/>
    <cellStyle name="表体数字 23 2" xfId="13218"/>
    <cellStyle name="表体数字 23 2 2" xfId="13222"/>
    <cellStyle name="表体数字 23 2 3" xfId="13224"/>
    <cellStyle name="表体数字 23 2 4" xfId="13226"/>
    <cellStyle name="表体数字 23 2 5" xfId="13228"/>
    <cellStyle name="表体数字 23 2 6" xfId="13230"/>
    <cellStyle name="表体数字 23 2 7" xfId="13232"/>
    <cellStyle name="表体数字 23 2 8" xfId="13234"/>
    <cellStyle name="表体数字 23 3" xfId="13236"/>
    <cellStyle name="表体数字 23 3 2" xfId="13240"/>
    <cellStyle name="表体数字 23 3 3" xfId="13242"/>
    <cellStyle name="表体数字 23 3 4" xfId="13244"/>
    <cellStyle name="表体数字 23 3 5" xfId="13246"/>
    <cellStyle name="表体数字 23 3 6" xfId="13248"/>
    <cellStyle name="表体数字 23 3 7" xfId="13250"/>
    <cellStyle name="表体数字 23 3 8" xfId="13252"/>
    <cellStyle name="表体数字 23 4" xfId="13254"/>
    <cellStyle name="表体数字 23 5" xfId="13258"/>
    <cellStyle name="表体数字 23 6" xfId="13262"/>
    <cellStyle name="表体数字 23 7" xfId="13265"/>
    <cellStyle name="表体数字 23 8" xfId="13268"/>
    <cellStyle name="表体数字 23 9" xfId="13271"/>
    <cellStyle name="表体数字 24" xfId="13274"/>
    <cellStyle name="表体数字 24 10" xfId="13276"/>
    <cellStyle name="表体数字 24 2" xfId="13278"/>
    <cellStyle name="表体数字 24 2 2" xfId="13282"/>
    <cellStyle name="表体数字 24 2 3" xfId="13284"/>
    <cellStyle name="表体数字 24 2 4" xfId="13286"/>
    <cellStyle name="表体数字 24 2 5" xfId="13288"/>
    <cellStyle name="表体数字 24 2 6" xfId="13290"/>
    <cellStyle name="表体数字 24 2 7" xfId="13292"/>
    <cellStyle name="表体数字 24 2 8" xfId="13294"/>
    <cellStyle name="表体数字 24 3" xfId="13296"/>
    <cellStyle name="表体数字 24 3 2" xfId="13300"/>
    <cellStyle name="表体数字 24 3 3" xfId="13302"/>
    <cellStyle name="表体数字 24 3 4" xfId="13304"/>
    <cellStyle name="表体数字 24 3 5" xfId="13306"/>
    <cellStyle name="表体数字 24 3 6" xfId="13308"/>
    <cellStyle name="表体数字 24 3 7" xfId="13310"/>
    <cellStyle name="表体数字 24 3 8" xfId="13312"/>
    <cellStyle name="表体数字 24 4" xfId="13314"/>
    <cellStyle name="表体数字 24 5" xfId="13318"/>
    <cellStyle name="表体数字 24 6" xfId="13322"/>
    <cellStyle name="表体数字 24 7" xfId="6657"/>
    <cellStyle name="表体数字 24 8" xfId="6661"/>
    <cellStyle name="表体数字 24 9" xfId="13325"/>
    <cellStyle name="表体数字 25" xfId="15238"/>
    <cellStyle name="表体数字 25 10" xfId="15240"/>
    <cellStyle name="表体数字 25 2" xfId="9690"/>
    <cellStyle name="表体数字 25 2 2" xfId="15242"/>
    <cellStyle name="表体数字 25 2 3" xfId="15244"/>
    <cellStyle name="表体数字 25 2 4" xfId="15246"/>
    <cellStyle name="表体数字 25 2 5" xfId="15248"/>
    <cellStyle name="表体数字 25 2 6" xfId="15250"/>
    <cellStyle name="表体数字 25 2 7" xfId="15252"/>
    <cellStyle name="表体数字 25 2 8" xfId="15254"/>
    <cellStyle name="表体数字 25 3" xfId="9697"/>
    <cellStyle name="表体数字 25 3 2" xfId="15256"/>
    <cellStyle name="表体数字 25 3 3" xfId="15258"/>
    <cellStyle name="表体数字 25 3 4" xfId="15260"/>
    <cellStyle name="表体数字 25 3 5" xfId="15262"/>
    <cellStyle name="表体数字 25 3 6" xfId="15264"/>
    <cellStyle name="表体数字 25 3 7" xfId="15266"/>
    <cellStyle name="表体数字 25 3 8" xfId="15268"/>
    <cellStyle name="表体数字 25 4" xfId="9704"/>
    <cellStyle name="表体数字 25 5" xfId="9713"/>
    <cellStyle name="表体数字 25 6" xfId="13661"/>
    <cellStyle name="表体数字 25 7" xfId="13667"/>
    <cellStyle name="表体数字 25 8" xfId="13673"/>
    <cellStyle name="表体数字 25 9" xfId="13677"/>
    <cellStyle name="表体数字 26" xfId="636"/>
    <cellStyle name="表体数字 26 10" xfId="15270"/>
    <cellStyle name="表体数字 26 2" xfId="15275"/>
    <cellStyle name="表体数字 26 2 2" xfId="15281"/>
    <cellStyle name="表体数字 26 2 3" xfId="15283"/>
    <cellStyle name="表体数字 26 2 4" xfId="15285"/>
    <cellStyle name="表体数字 26 2 5" xfId="15287"/>
    <cellStyle name="表体数字 26 2 6" xfId="15289"/>
    <cellStyle name="表体数字 26 2 7" xfId="15291"/>
    <cellStyle name="表体数字 26 2 8" xfId="15295"/>
    <cellStyle name="表体数字 26 3" xfId="15299"/>
    <cellStyle name="表体数字 26 3 2" xfId="15305"/>
    <cellStyle name="表体数字 26 3 3" xfId="15307"/>
    <cellStyle name="表体数字 26 3 4" xfId="15309"/>
    <cellStyle name="表体数字 26 3 5" xfId="15311"/>
    <cellStyle name="表体数字 26 3 6" xfId="15313"/>
    <cellStyle name="表体数字 26 3 7" xfId="15315"/>
    <cellStyle name="表体数字 26 3 8" xfId="15319"/>
    <cellStyle name="表体数字 26 4" xfId="15323"/>
    <cellStyle name="表体数字 26 5" xfId="13688"/>
    <cellStyle name="表体数字 26 6" xfId="13696"/>
    <cellStyle name="表体数字 26 7" xfId="6673"/>
    <cellStyle name="表体数字 26 8" xfId="6681"/>
    <cellStyle name="表体数字 26 9" xfId="13703"/>
    <cellStyle name="表体数字 27" xfId="640"/>
    <cellStyle name="表体数字 27 10" xfId="15329"/>
    <cellStyle name="表体数字 27 2" xfId="15332"/>
    <cellStyle name="表体数字 27 2 2" xfId="15336"/>
    <cellStyle name="表体数字 27 2 3" xfId="15339"/>
    <cellStyle name="表体数字 27 2 4" xfId="15342"/>
    <cellStyle name="表体数字 27 2 5" xfId="15345"/>
    <cellStyle name="表体数字 27 2 6" xfId="15348"/>
    <cellStyle name="表体数字 27 2 7" xfId="15351"/>
    <cellStyle name="表体数字 27 2 8" xfId="15353"/>
    <cellStyle name="表体数字 27 3" xfId="15355"/>
    <cellStyle name="表体数字 27 3 2" xfId="15359"/>
    <cellStyle name="表体数字 27 3 3" xfId="8358"/>
    <cellStyle name="表体数字 27 3 4" xfId="15362"/>
    <cellStyle name="表体数字 27 3 5" xfId="15365"/>
    <cellStyle name="表体数字 27 3 6" xfId="15368"/>
    <cellStyle name="表体数字 27 3 7" xfId="15371"/>
    <cellStyle name="表体数字 27 3 8" xfId="15373"/>
    <cellStyle name="表体数字 27 4" xfId="15375"/>
    <cellStyle name="表体数字 27 5" xfId="15379"/>
    <cellStyle name="表体数字 27 6" xfId="15383"/>
    <cellStyle name="表体数字 27 7" xfId="15385"/>
    <cellStyle name="表体数字 27 8" xfId="15387"/>
    <cellStyle name="表体数字 27 9" xfId="15389"/>
    <cellStyle name="表体数字 28" xfId="15391"/>
    <cellStyle name="表体数字 28 10" xfId="15393"/>
    <cellStyle name="表体数字 28 2" xfId="15396"/>
    <cellStyle name="表体数字 28 2 2" xfId="15400"/>
    <cellStyle name="表体数字 28 2 3" xfId="15402"/>
    <cellStyle name="表体数字 28 2 4" xfId="15404"/>
    <cellStyle name="表体数字 28 2 5" xfId="15406"/>
    <cellStyle name="表体数字 28 2 6" xfId="15408"/>
    <cellStyle name="表体数字 28 2 7" xfId="15410"/>
    <cellStyle name="表体数字 28 2 8" xfId="15412"/>
    <cellStyle name="表体数字 28 3" xfId="15414"/>
    <cellStyle name="表体数字 28 3 2" xfId="15418"/>
    <cellStyle name="表体数字 28 3 3" xfId="15420"/>
    <cellStyle name="表体数字 28 3 4" xfId="15422"/>
    <cellStyle name="表体数字 28 3 5" xfId="15424"/>
    <cellStyle name="表体数字 28 3 6" xfId="15426"/>
    <cellStyle name="表体数字 28 3 7" xfId="15428"/>
    <cellStyle name="表体数字 28 3 8" xfId="15430"/>
    <cellStyle name="表体数字 28 4" xfId="15432"/>
    <cellStyle name="表体数字 28 5" xfId="15436"/>
    <cellStyle name="表体数字 28 6" xfId="15440"/>
    <cellStyle name="表体数字 28 7" xfId="15442"/>
    <cellStyle name="表体数字 28 8" xfId="15444"/>
    <cellStyle name="表体数字 28 9" xfId="15446"/>
    <cellStyle name="表体数字 29" xfId="15448"/>
    <cellStyle name="表体数字 29 10" xfId="15450"/>
    <cellStyle name="表体数字 29 2" xfId="15453"/>
    <cellStyle name="表体数字 29 2 2" xfId="12519"/>
    <cellStyle name="表体数字 29 2 3" xfId="12523"/>
    <cellStyle name="表体数字 29 2 4" xfId="12546"/>
    <cellStyle name="表体数字 29 2 5" xfId="12550"/>
    <cellStyle name="表体数字 29 2 6" xfId="12554"/>
    <cellStyle name="表体数字 29 2 7" xfId="12558"/>
    <cellStyle name="表体数字 29 2 8" xfId="12562"/>
    <cellStyle name="表体数字 29 3" xfId="15456"/>
    <cellStyle name="表体数字 29 3 2" xfId="15459"/>
    <cellStyle name="表体数字 29 3 3" xfId="15461"/>
    <cellStyle name="表体数字 29 3 4" xfId="15463"/>
    <cellStyle name="表体数字 29 3 5" xfId="15465"/>
    <cellStyle name="表体数字 29 3 6" xfId="1390"/>
    <cellStyle name="表体数字 29 3 7" xfId="1401"/>
    <cellStyle name="表体数字 29 3 8" xfId="4877"/>
    <cellStyle name="表体数字 29 4" xfId="15467"/>
    <cellStyle name="表体数字 29 5" xfId="15470"/>
    <cellStyle name="表体数字 29 6" xfId="15473"/>
    <cellStyle name="表体数字 29 7" xfId="15475"/>
    <cellStyle name="表体数字 29 8" xfId="7054"/>
    <cellStyle name="表体数字 29 9" xfId="15477"/>
    <cellStyle name="表体数字 3" xfId="15479"/>
    <cellStyle name="表体数字 3 10" xfId="15482"/>
    <cellStyle name="表体数字 3 2" xfId="15485"/>
    <cellStyle name="表体数字 3 2 2" xfId="15486"/>
    <cellStyle name="表体数字 3 2 3" xfId="5837"/>
    <cellStyle name="表体数字 3 2 4" xfId="5689"/>
    <cellStyle name="表体数字 3 2 5" xfId="5692"/>
    <cellStyle name="表体数字 3 2 6" xfId="4020"/>
    <cellStyle name="表体数字 3 2 7" xfId="4026"/>
    <cellStyle name="表体数字 3 2 8" xfId="147"/>
    <cellStyle name="表体数字 3 3" xfId="15487"/>
    <cellStyle name="表体数字 3 3 2" xfId="15488"/>
    <cellStyle name="表体数字 3 3 3" xfId="15491"/>
    <cellStyle name="表体数字 3 3 4" xfId="15494"/>
    <cellStyle name="表体数字 3 3 5" xfId="15497"/>
    <cellStyle name="表体数字 3 3 6" xfId="15500"/>
    <cellStyle name="表体数字 3 3 7" xfId="15503"/>
    <cellStyle name="表体数字 3 3 8" xfId="15504"/>
    <cellStyle name="表体数字 3 4" xfId="15505"/>
    <cellStyle name="表体数字 3 5" xfId="15506"/>
    <cellStyle name="表体数字 3 6" xfId="15507"/>
    <cellStyle name="表体数字 3 7" xfId="15508"/>
    <cellStyle name="表体数字 3 8" xfId="15509"/>
    <cellStyle name="表体数字 3 9" xfId="15510"/>
    <cellStyle name="表体数字 30" xfId="15239"/>
    <cellStyle name="表体数字 30 10" xfId="15241"/>
    <cellStyle name="表体数字 30 2" xfId="9691"/>
    <cellStyle name="表体数字 30 2 2" xfId="15243"/>
    <cellStyle name="表体数字 30 2 3" xfId="15245"/>
    <cellStyle name="表体数字 30 2 4" xfId="15247"/>
    <cellStyle name="表体数字 30 2 5" xfId="15249"/>
    <cellStyle name="表体数字 30 2 6" xfId="15251"/>
    <cellStyle name="表体数字 30 2 7" xfId="15253"/>
    <cellStyle name="表体数字 30 2 8" xfId="15255"/>
    <cellStyle name="表体数字 30 3" xfId="9698"/>
    <cellStyle name="表体数字 30 3 2" xfId="15257"/>
    <cellStyle name="表体数字 30 3 3" xfId="15259"/>
    <cellStyle name="表体数字 30 3 4" xfId="15261"/>
    <cellStyle name="表体数字 30 3 5" xfId="15263"/>
    <cellStyle name="表体数字 30 3 6" xfId="15265"/>
    <cellStyle name="表体数字 30 3 7" xfId="15267"/>
    <cellStyle name="表体数字 30 3 8" xfId="15269"/>
    <cellStyle name="表体数字 30 4" xfId="9705"/>
    <cellStyle name="表体数字 30 5" xfId="9714"/>
    <cellStyle name="表体数字 30 6" xfId="13662"/>
    <cellStyle name="表体数字 30 7" xfId="13668"/>
    <cellStyle name="表体数字 30 8" xfId="13674"/>
    <cellStyle name="表体数字 30 9" xfId="13678"/>
    <cellStyle name="表体数字 31" xfId="635"/>
    <cellStyle name="表体数字 31 10" xfId="15271"/>
    <cellStyle name="表体数字 31 2" xfId="15276"/>
    <cellStyle name="表体数字 31 2 2" xfId="15282"/>
    <cellStyle name="表体数字 31 2 3" xfId="15284"/>
    <cellStyle name="表体数字 31 2 4" xfId="15286"/>
    <cellStyle name="表体数字 31 2 5" xfId="15288"/>
    <cellStyle name="表体数字 31 2 6" xfId="15290"/>
    <cellStyle name="表体数字 31 2 7" xfId="15292"/>
    <cellStyle name="表体数字 31 2 8" xfId="15296"/>
    <cellStyle name="表体数字 31 3" xfId="15300"/>
    <cellStyle name="表体数字 31 3 2" xfId="15306"/>
    <cellStyle name="表体数字 31 3 3" xfId="15308"/>
    <cellStyle name="表体数字 31 3 4" xfId="15310"/>
    <cellStyle name="表体数字 31 3 5" xfId="15312"/>
    <cellStyle name="表体数字 31 3 6" xfId="15314"/>
    <cellStyle name="表体数字 31 3 7" xfId="15316"/>
    <cellStyle name="表体数字 31 3 8" xfId="15320"/>
    <cellStyle name="表体数字 31 4" xfId="15324"/>
    <cellStyle name="表体数字 31 5" xfId="13689"/>
    <cellStyle name="表体数字 31 6" xfId="13697"/>
    <cellStyle name="表体数字 31 7" xfId="6674"/>
    <cellStyle name="表体数字 31 8" xfId="6682"/>
    <cellStyle name="表体数字 31 9" xfId="13704"/>
    <cellStyle name="表体数字 32" xfId="639"/>
    <cellStyle name="表体数字 32 10" xfId="15330"/>
    <cellStyle name="表体数字 32 2" xfId="15333"/>
    <cellStyle name="表体数字 32 2 2" xfId="15337"/>
    <cellStyle name="表体数字 32 2 3" xfId="15340"/>
    <cellStyle name="表体数字 32 2 4" xfId="15343"/>
    <cellStyle name="表体数字 32 2 5" xfId="15346"/>
    <cellStyle name="表体数字 32 2 6" xfId="15349"/>
    <cellStyle name="表体数字 32 2 7" xfId="15352"/>
    <cellStyle name="表体数字 32 2 8" xfId="15354"/>
    <cellStyle name="表体数字 32 3" xfId="15356"/>
    <cellStyle name="表体数字 32 3 2" xfId="15360"/>
    <cellStyle name="表体数字 32 3 3" xfId="8359"/>
    <cellStyle name="表体数字 32 3 4" xfId="15363"/>
    <cellStyle name="表体数字 32 3 5" xfId="15366"/>
    <cellStyle name="表体数字 32 3 6" xfId="15369"/>
    <cellStyle name="表体数字 32 3 7" xfId="15372"/>
    <cellStyle name="表体数字 32 3 8" xfId="15374"/>
    <cellStyle name="表体数字 32 4" xfId="15376"/>
    <cellStyle name="表体数字 32 5" xfId="15380"/>
    <cellStyle name="表体数字 32 6" xfId="15384"/>
    <cellStyle name="表体数字 32 7" xfId="15386"/>
    <cellStyle name="表体数字 32 8" xfId="15388"/>
    <cellStyle name="表体数字 32 9" xfId="15390"/>
    <cellStyle name="表体数字 33" xfId="15392"/>
    <cellStyle name="表体数字 33 10" xfId="15394"/>
    <cellStyle name="表体数字 33 2" xfId="15397"/>
    <cellStyle name="表体数字 33 2 2" xfId="15401"/>
    <cellStyle name="表体数字 33 2 3" xfId="15403"/>
    <cellStyle name="表体数字 33 2 4" xfId="15405"/>
    <cellStyle name="表体数字 33 2 5" xfId="15407"/>
    <cellStyle name="表体数字 33 2 6" xfId="15409"/>
    <cellStyle name="表体数字 33 2 7" xfId="15411"/>
    <cellStyle name="表体数字 33 2 8" xfId="15413"/>
    <cellStyle name="表体数字 33 3" xfId="15415"/>
    <cellStyle name="表体数字 33 3 2" xfId="15419"/>
    <cellStyle name="表体数字 33 3 3" xfId="15421"/>
    <cellStyle name="表体数字 33 3 4" xfId="15423"/>
    <cellStyle name="表体数字 33 3 5" xfId="15425"/>
    <cellStyle name="表体数字 33 3 6" xfId="15427"/>
    <cellStyle name="表体数字 33 3 7" xfId="15429"/>
    <cellStyle name="表体数字 33 3 8" xfId="15431"/>
    <cellStyle name="表体数字 33 4" xfId="15433"/>
    <cellStyle name="表体数字 33 5" xfId="15437"/>
    <cellStyle name="表体数字 33 6" xfId="15441"/>
    <cellStyle name="表体数字 33 7" xfId="15443"/>
    <cellStyle name="表体数字 33 8" xfId="15445"/>
    <cellStyle name="表体数字 33 9" xfId="15447"/>
    <cellStyle name="表体数字 34" xfId="15449"/>
    <cellStyle name="表体数字 34 10" xfId="15451"/>
    <cellStyle name="表体数字 34 2" xfId="15454"/>
    <cellStyle name="表体数字 34 2 2" xfId="12520"/>
    <cellStyle name="表体数字 34 2 3" xfId="12524"/>
    <cellStyle name="表体数字 34 2 4" xfId="12547"/>
    <cellStyle name="表体数字 34 2 5" xfId="12551"/>
    <cellStyle name="表体数字 34 2 6" xfId="12555"/>
    <cellStyle name="表体数字 34 2 7" xfId="12559"/>
    <cellStyle name="表体数字 34 2 8" xfId="12563"/>
    <cellStyle name="表体数字 34 3" xfId="15457"/>
    <cellStyle name="表体数字 34 3 2" xfId="15460"/>
    <cellStyle name="表体数字 34 3 3" xfId="15462"/>
    <cellStyle name="表体数字 34 3 4" xfId="15464"/>
    <cellStyle name="表体数字 34 3 5" xfId="15466"/>
    <cellStyle name="表体数字 34 3 6" xfId="1389"/>
    <cellStyle name="表体数字 34 3 7" xfId="1400"/>
    <cellStyle name="表体数字 34 3 8" xfId="4878"/>
    <cellStyle name="表体数字 34 4" xfId="15468"/>
    <cellStyle name="表体数字 34 5" xfId="15471"/>
    <cellStyle name="表体数字 34 6" xfId="15474"/>
    <cellStyle name="表体数字 34 7" xfId="15476"/>
    <cellStyle name="表体数字 34 8" xfId="7055"/>
    <cellStyle name="表体数字 34 9" xfId="15478"/>
    <cellStyle name="表体数字 35" xfId="10000"/>
    <cellStyle name="表体数字 35 10" xfId="15511"/>
    <cellStyle name="表体数字 35 2" xfId="15515"/>
    <cellStyle name="表体数字 35 2 2" xfId="15518"/>
    <cellStyle name="表体数字 35 2 3" xfId="15520"/>
    <cellStyle name="表体数字 35 2 4" xfId="15522"/>
    <cellStyle name="表体数字 35 2 5" xfId="15524"/>
    <cellStyle name="表体数字 35 2 6" xfId="15526"/>
    <cellStyle name="表体数字 35 2 7" xfId="15528"/>
    <cellStyle name="表体数字 35 2 8" xfId="15530"/>
    <cellStyle name="表体数字 35 3" xfId="15532"/>
    <cellStyle name="表体数字 35 3 2" xfId="15535"/>
    <cellStyle name="表体数字 35 3 3" xfId="15537"/>
    <cellStyle name="表体数字 35 3 4" xfId="15539"/>
    <cellStyle name="表体数字 35 3 5" xfId="15541"/>
    <cellStyle name="表体数字 35 3 6" xfId="15543"/>
    <cellStyle name="表体数字 35 3 7" xfId="15545"/>
    <cellStyle name="表体数字 35 3 8" xfId="8984"/>
    <cellStyle name="表体数字 35 4" xfId="15549"/>
    <cellStyle name="表体数字 35 5" xfId="15554"/>
    <cellStyle name="表体数字 35 6" xfId="15557"/>
    <cellStyle name="表体数字 35 7" xfId="15561"/>
    <cellStyle name="表体数字 35 8" xfId="15565"/>
    <cellStyle name="表体数字 35 9" xfId="15569"/>
    <cellStyle name="表体数字 36" xfId="15573"/>
    <cellStyle name="表体数字 36 10" xfId="8136"/>
    <cellStyle name="表体数字 36 2" xfId="15576"/>
    <cellStyle name="表体数字 36 2 2" xfId="15579"/>
    <cellStyle name="表体数字 36 2 3" xfId="15581"/>
    <cellStyle name="表体数字 36 2 4" xfId="15583"/>
    <cellStyle name="表体数字 36 2 5" xfId="15585"/>
    <cellStyle name="表体数字 36 2 6" xfId="15587"/>
    <cellStyle name="表体数字 36 2 7" xfId="15589"/>
    <cellStyle name="表体数字 36 2 8" xfId="15591"/>
    <cellStyle name="表体数字 36 3" xfId="15593"/>
    <cellStyle name="表体数字 36 3 2" xfId="15597"/>
    <cellStyle name="表体数字 36 3 3" xfId="15599"/>
    <cellStyle name="表体数字 36 3 4" xfId="15601"/>
    <cellStyle name="表体数字 36 3 5" xfId="15603"/>
    <cellStyle name="表体数字 36 3 6" xfId="15605"/>
    <cellStyle name="表体数字 36 3 7" xfId="15607"/>
    <cellStyle name="表体数字 36 3 8" xfId="15609"/>
    <cellStyle name="表体数字 36 4" xfId="15613"/>
    <cellStyle name="表体数字 36 5" xfId="15619"/>
    <cellStyle name="表体数字 36 6" xfId="15624"/>
    <cellStyle name="表体数字 36 7" xfId="15629"/>
    <cellStyle name="表体数字 36 8" xfId="15634"/>
    <cellStyle name="表体数字 36 9" xfId="15639"/>
    <cellStyle name="表体数字 37" xfId="15642"/>
    <cellStyle name="表体数字 37 10" xfId="8247"/>
    <cellStyle name="表体数字 37 2" xfId="15645"/>
    <cellStyle name="表体数字 37 2 2" xfId="15648"/>
    <cellStyle name="表体数字 37 2 3" xfId="15650"/>
    <cellStyle name="表体数字 37 2 4" xfId="15652"/>
    <cellStyle name="表体数字 37 2 5" xfId="15654"/>
    <cellStyle name="表体数字 37 2 6" xfId="15656"/>
    <cellStyle name="表体数字 37 2 7" xfId="15658"/>
    <cellStyle name="表体数字 37 2 8" xfId="15660"/>
    <cellStyle name="表体数字 37 3" xfId="15662"/>
    <cellStyle name="表体数字 37 3 2" xfId="15666"/>
    <cellStyle name="表体数字 37 3 3" xfId="15668"/>
    <cellStyle name="表体数字 37 3 4" xfId="15670"/>
    <cellStyle name="表体数字 37 3 5" xfId="15672"/>
    <cellStyle name="表体数字 37 3 6" xfId="15674"/>
    <cellStyle name="表体数字 37 3 7" xfId="15676"/>
    <cellStyle name="表体数字 37 3 8" xfId="15678"/>
    <cellStyle name="表体数字 37 4" xfId="15680"/>
    <cellStyle name="表体数字 37 5" xfId="15684"/>
    <cellStyle name="表体数字 37 6" xfId="15687"/>
    <cellStyle name="表体数字 37 7" xfId="15690"/>
    <cellStyle name="表体数字 37 8" xfId="15693"/>
    <cellStyle name="表体数字 37 9" xfId="15696"/>
    <cellStyle name="表体数字 38" xfId="15699"/>
    <cellStyle name="表体数字 38 10" xfId="15702"/>
    <cellStyle name="表体数字 38 2" xfId="2265"/>
    <cellStyle name="表体数字 38 2 2" xfId="15706"/>
    <cellStyle name="表体数字 38 2 3" xfId="15708"/>
    <cellStyle name="表体数字 38 2 4" xfId="15710"/>
    <cellStyle name="表体数字 38 2 5" xfId="15712"/>
    <cellStyle name="表体数字 38 2 6" xfId="15714"/>
    <cellStyle name="表体数字 38 2 7" xfId="15716"/>
    <cellStyle name="表体数字 38 2 8" xfId="15718"/>
    <cellStyle name="表体数字 38 3" xfId="2269"/>
    <cellStyle name="表体数字 38 3 2" xfId="15720"/>
    <cellStyle name="表体数字 38 3 3" xfId="15722"/>
    <cellStyle name="表体数字 38 3 4" xfId="15724"/>
    <cellStyle name="表体数字 38 3 5" xfId="15726"/>
    <cellStyle name="表体数字 38 3 6" xfId="15728"/>
    <cellStyle name="表体数字 38 3 7" xfId="15730"/>
    <cellStyle name="表体数字 38 3 8" xfId="15732"/>
    <cellStyle name="表体数字 38 4" xfId="2274"/>
    <cellStyle name="表体数字 38 5" xfId="2280"/>
    <cellStyle name="表体数字 38 6" xfId="2287"/>
    <cellStyle name="表体数字 38 7" xfId="2293"/>
    <cellStyle name="表体数字 38 8" xfId="2299"/>
    <cellStyle name="表体数字 38 9" xfId="15734"/>
    <cellStyle name="表体数字 39" xfId="15736"/>
    <cellStyle name="表体数字 39 10" xfId="15739"/>
    <cellStyle name="表体数字 39 2" xfId="15743"/>
    <cellStyle name="表体数字 39 2 2" xfId="15745"/>
    <cellStyle name="表体数字 39 2 3" xfId="15747"/>
    <cellStyle name="表体数字 39 2 4" xfId="15749"/>
    <cellStyle name="表体数字 39 2 5" xfId="15751"/>
    <cellStyle name="表体数字 39 2 6" xfId="15753"/>
    <cellStyle name="表体数字 39 2 7" xfId="15755"/>
    <cellStyle name="表体数字 39 2 8" xfId="15757"/>
    <cellStyle name="表体数字 39 3" xfId="15759"/>
    <cellStyle name="表体数字 39 3 2" xfId="15761"/>
    <cellStyle name="表体数字 39 3 3" xfId="15763"/>
    <cellStyle name="表体数字 39 3 4" xfId="15765"/>
    <cellStyle name="表体数字 39 3 5" xfId="15767"/>
    <cellStyle name="表体数字 39 3 6" xfId="15769"/>
    <cellStyle name="表体数字 39 3 7" xfId="15771"/>
    <cellStyle name="表体数字 39 3 8" xfId="15773"/>
    <cellStyle name="表体数字 39 4" xfId="4090"/>
    <cellStyle name="表体数字 39 5" xfId="4701"/>
    <cellStyle name="表体数字 39 6" xfId="15775"/>
    <cellStyle name="表体数字 39 7" xfId="15777"/>
    <cellStyle name="表体数字 39 8" xfId="15779"/>
    <cellStyle name="表体数字 39 9" xfId="15781"/>
    <cellStyle name="表体数字 4" xfId="15783"/>
    <cellStyle name="表体数字 4 10" xfId="15786"/>
    <cellStyle name="表体数字 4 2" xfId="15787"/>
    <cellStyle name="表体数字 4 2 2" xfId="15789"/>
    <cellStyle name="表体数字 4 2 3" xfId="15790"/>
    <cellStyle name="表体数字 4 2 4" xfId="15791"/>
    <cellStyle name="表体数字 4 2 5" xfId="15792"/>
    <cellStyle name="表体数字 4 2 6" xfId="15793"/>
    <cellStyle name="表体数字 4 2 7" xfId="15794"/>
    <cellStyle name="表体数字 4 2 8" xfId="15795"/>
    <cellStyle name="表体数字 4 3" xfId="15796"/>
    <cellStyle name="表体数字 4 3 2" xfId="15798"/>
    <cellStyle name="表体数字 4 3 3" xfId="15801"/>
    <cellStyle name="表体数字 4 3 4" xfId="15804"/>
    <cellStyle name="表体数字 4 3 5" xfId="15807"/>
    <cellStyle name="表体数字 4 3 6" xfId="15810"/>
    <cellStyle name="表体数字 4 3 7" xfId="15813"/>
    <cellStyle name="表体数字 4 3 8" xfId="15814"/>
    <cellStyle name="表体数字 4 4" xfId="15815"/>
    <cellStyle name="表体数字 4 5" xfId="15817"/>
    <cellStyle name="表体数字 4 6" xfId="15818"/>
    <cellStyle name="表体数字 4 7" xfId="15819"/>
    <cellStyle name="表体数字 4 8" xfId="8864"/>
    <cellStyle name="表体数字 4 9" xfId="8867"/>
    <cellStyle name="表体数字 40" xfId="10001"/>
    <cellStyle name="表体数字 40 10" xfId="15512"/>
    <cellStyle name="表体数字 40 2" xfId="15516"/>
    <cellStyle name="表体数字 40 2 2" xfId="15519"/>
    <cellStyle name="表体数字 40 2 3" xfId="15521"/>
    <cellStyle name="表体数字 40 2 4" xfId="15523"/>
    <cellStyle name="表体数字 40 2 5" xfId="15525"/>
    <cellStyle name="表体数字 40 2 6" xfId="15527"/>
    <cellStyle name="表体数字 40 2 7" xfId="15529"/>
    <cellStyle name="表体数字 40 2 8" xfId="15531"/>
    <cellStyle name="表体数字 40 3" xfId="15533"/>
    <cellStyle name="表体数字 40 3 2" xfId="15536"/>
    <cellStyle name="表体数字 40 3 3" xfId="15538"/>
    <cellStyle name="表体数字 40 3 4" xfId="15540"/>
    <cellStyle name="表体数字 40 3 5" xfId="15542"/>
    <cellStyle name="表体数字 40 3 6" xfId="15544"/>
    <cellStyle name="表体数字 40 3 7" xfId="15546"/>
    <cellStyle name="表体数字 40 3 8" xfId="8985"/>
    <cellStyle name="表体数字 40 4" xfId="15550"/>
    <cellStyle name="表体数字 40 5" xfId="15555"/>
    <cellStyle name="表体数字 40 6" xfId="15558"/>
    <cellStyle name="表体数字 40 7" xfId="15562"/>
    <cellStyle name="表体数字 40 8" xfId="15566"/>
    <cellStyle name="表体数字 40 9" xfId="15570"/>
    <cellStyle name="表体数字 41" xfId="15574"/>
    <cellStyle name="表体数字 41 10" xfId="8137"/>
    <cellStyle name="表体数字 41 2" xfId="15577"/>
    <cellStyle name="表体数字 41 2 2" xfId="15580"/>
    <cellStyle name="表体数字 41 2 3" xfId="15582"/>
    <cellStyle name="表体数字 41 2 4" xfId="15584"/>
    <cellStyle name="表体数字 41 2 5" xfId="15586"/>
    <cellStyle name="表体数字 41 2 6" xfId="15588"/>
    <cellStyle name="表体数字 41 2 7" xfId="15590"/>
    <cellStyle name="表体数字 41 2 8" xfId="15592"/>
    <cellStyle name="表体数字 41 3" xfId="15594"/>
    <cellStyle name="表体数字 41 3 2" xfId="15598"/>
    <cellStyle name="表体数字 41 3 3" xfId="15600"/>
    <cellStyle name="表体数字 41 3 4" xfId="15602"/>
    <cellStyle name="表体数字 41 3 5" xfId="15604"/>
    <cellStyle name="表体数字 41 3 6" xfId="15606"/>
    <cellStyle name="表体数字 41 3 7" xfId="15608"/>
    <cellStyle name="表体数字 41 3 8" xfId="15610"/>
    <cellStyle name="表体数字 41 4" xfId="15614"/>
    <cellStyle name="表体数字 41 5" xfId="15620"/>
    <cellStyle name="表体数字 41 6" xfId="15625"/>
    <cellStyle name="表体数字 41 7" xfId="15630"/>
    <cellStyle name="表体数字 41 8" xfId="15635"/>
    <cellStyle name="表体数字 41 9" xfId="15640"/>
    <cellStyle name="表体数字 42" xfId="15643"/>
    <cellStyle name="表体数字 42 10" xfId="8248"/>
    <cellStyle name="表体数字 42 2" xfId="15646"/>
    <cellStyle name="表体数字 42 2 2" xfId="15649"/>
    <cellStyle name="表体数字 42 2 3" xfId="15651"/>
    <cellStyle name="表体数字 42 2 4" xfId="15653"/>
    <cellStyle name="表体数字 42 2 5" xfId="15655"/>
    <cellStyle name="表体数字 42 2 6" xfId="15657"/>
    <cellStyle name="表体数字 42 2 7" xfId="15659"/>
    <cellStyle name="表体数字 42 2 8" xfId="15661"/>
    <cellStyle name="表体数字 42 3" xfId="15663"/>
    <cellStyle name="表体数字 42 3 2" xfId="15667"/>
    <cellStyle name="表体数字 42 3 3" xfId="15669"/>
    <cellStyle name="表体数字 42 3 4" xfId="15671"/>
    <cellStyle name="表体数字 42 3 5" xfId="15673"/>
    <cellStyle name="表体数字 42 3 6" xfId="15675"/>
    <cellStyle name="表体数字 42 3 7" xfId="15677"/>
    <cellStyle name="表体数字 42 3 8" xfId="15679"/>
    <cellStyle name="表体数字 42 4" xfId="15681"/>
    <cellStyle name="表体数字 42 5" xfId="15685"/>
    <cellStyle name="表体数字 42 6" xfId="15688"/>
    <cellStyle name="表体数字 42 7" xfId="15691"/>
    <cellStyle name="表体数字 42 8" xfId="15694"/>
    <cellStyle name="表体数字 42 9" xfId="15697"/>
    <cellStyle name="表体数字 43" xfId="15700"/>
    <cellStyle name="表体数字 43 10" xfId="15703"/>
    <cellStyle name="表体数字 43 2" xfId="2264"/>
    <cellStyle name="表体数字 43 2 2" xfId="15707"/>
    <cellStyle name="表体数字 43 2 3" xfId="15709"/>
    <cellStyle name="表体数字 43 2 4" xfId="15711"/>
    <cellStyle name="表体数字 43 2 5" xfId="15713"/>
    <cellStyle name="表体数字 43 2 6" xfId="15715"/>
    <cellStyle name="表体数字 43 2 7" xfId="15717"/>
    <cellStyle name="表体数字 43 2 8" xfId="15719"/>
    <cellStyle name="表体数字 43 3" xfId="2268"/>
    <cellStyle name="表体数字 43 3 2" xfId="15721"/>
    <cellStyle name="表体数字 43 3 3" xfId="15723"/>
    <cellStyle name="表体数字 43 3 4" xfId="15725"/>
    <cellStyle name="表体数字 43 3 5" xfId="15727"/>
    <cellStyle name="表体数字 43 3 6" xfId="15729"/>
    <cellStyle name="表体数字 43 3 7" xfId="15731"/>
    <cellStyle name="表体数字 43 3 8" xfId="15733"/>
    <cellStyle name="表体数字 43 4" xfId="2273"/>
    <cellStyle name="表体数字 43 5" xfId="2279"/>
    <cellStyle name="表体数字 43 6" xfId="2286"/>
    <cellStyle name="表体数字 43 7" xfId="2292"/>
    <cellStyle name="表体数字 43 8" xfId="2298"/>
    <cellStyle name="表体数字 43 9" xfId="15735"/>
    <cellStyle name="表体数字 44" xfId="15737"/>
    <cellStyle name="表体数字 44 10" xfId="15740"/>
    <cellStyle name="表体数字 44 2" xfId="15744"/>
    <cellStyle name="表体数字 44 2 2" xfId="15746"/>
    <cellStyle name="表体数字 44 2 3" xfId="15748"/>
    <cellStyle name="表体数字 44 2 4" xfId="15750"/>
    <cellStyle name="表体数字 44 2 5" xfId="15752"/>
    <cellStyle name="表体数字 44 2 6" xfId="15754"/>
    <cellStyle name="表体数字 44 2 7" xfId="15756"/>
    <cellStyle name="表体数字 44 2 8" xfId="15758"/>
    <cellStyle name="表体数字 44 3" xfId="15760"/>
    <cellStyle name="表体数字 44 3 2" xfId="15762"/>
    <cellStyle name="表体数字 44 3 3" xfId="15764"/>
    <cellStyle name="表体数字 44 3 4" xfId="15766"/>
    <cellStyle name="表体数字 44 3 5" xfId="15768"/>
    <cellStyle name="表体数字 44 3 6" xfId="15770"/>
    <cellStyle name="表体数字 44 3 7" xfId="15772"/>
    <cellStyle name="表体数字 44 3 8" xfId="15774"/>
    <cellStyle name="表体数字 44 4" xfId="4091"/>
    <cellStyle name="表体数字 44 5" xfId="4702"/>
    <cellStyle name="表体数字 44 6" xfId="15776"/>
    <cellStyle name="表体数字 44 7" xfId="15778"/>
    <cellStyle name="表体数字 44 8" xfId="15780"/>
    <cellStyle name="表体数字 44 9" xfId="15782"/>
    <cellStyle name="表体数字 45" xfId="15820"/>
    <cellStyle name="表体数字 45 10" xfId="15823"/>
    <cellStyle name="表体数字 45 2" xfId="15826"/>
    <cellStyle name="表体数字 45 2 2" xfId="15828"/>
    <cellStyle name="表体数字 45 2 3" xfId="15830"/>
    <cellStyle name="表体数字 45 2 4" xfId="15832"/>
    <cellStyle name="表体数字 45 2 5" xfId="15834"/>
    <cellStyle name="表体数字 45 2 6" xfId="15836"/>
    <cellStyle name="表体数字 45 2 7" xfId="15838"/>
    <cellStyle name="表体数字 45 2 8" xfId="15840"/>
    <cellStyle name="表体数字 45 3" xfId="15842"/>
    <cellStyle name="表体数字 45 3 2" xfId="5482"/>
    <cellStyle name="表体数字 45 3 3" xfId="5485"/>
    <cellStyle name="表体数字 45 3 4" xfId="15844"/>
    <cellStyle name="表体数字 45 3 5" xfId="15846"/>
    <cellStyle name="表体数字 45 3 6" xfId="15848"/>
    <cellStyle name="表体数字 45 3 7" xfId="15850"/>
    <cellStyle name="表体数字 45 3 8" xfId="15852"/>
    <cellStyle name="表体数字 45 4" xfId="4708"/>
    <cellStyle name="表体数字 45 5" xfId="4711"/>
    <cellStyle name="表体数字 45 6" xfId="15854"/>
    <cellStyle name="表体数字 45 7" xfId="15856"/>
    <cellStyle name="表体数字 45 8" xfId="15858"/>
    <cellStyle name="表体数字 45 9" xfId="15860"/>
    <cellStyle name="表体数字 46" xfId="15862"/>
    <cellStyle name="表体数字 46 10" xfId="15865"/>
    <cellStyle name="表体数字 46 2" xfId="15869"/>
    <cellStyle name="表体数字 46 2 2" xfId="15871"/>
    <cellStyle name="表体数字 46 2 3" xfId="15873"/>
    <cellStyle name="表体数字 46 2 4" xfId="15875"/>
    <cellStyle name="表体数字 46 2 5" xfId="15877"/>
    <cellStyle name="表体数字 46 2 6" xfId="15879"/>
    <cellStyle name="表体数字 46 2 7" xfId="15881"/>
    <cellStyle name="表体数字 46 2 8" xfId="15883"/>
    <cellStyle name="表体数字 46 3" xfId="15885"/>
    <cellStyle name="表体数字 46 3 2" xfId="15887"/>
    <cellStyle name="表体数字 46 3 3" xfId="15889"/>
    <cellStyle name="表体数字 46 3 4" xfId="15891"/>
    <cellStyle name="表体数字 46 3 5" xfId="15893"/>
    <cellStyle name="表体数字 46 3 6" xfId="15895"/>
    <cellStyle name="表体数字 46 3 7" xfId="15897"/>
    <cellStyle name="表体数字 46 3 8" xfId="15899"/>
    <cellStyle name="表体数字 46 4" xfId="4718"/>
    <cellStyle name="表体数字 46 5" xfId="4721"/>
    <cellStyle name="表体数字 46 6" xfId="15901"/>
    <cellStyle name="表体数字 46 7" xfId="15905"/>
    <cellStyle name="表体数字 46 8" xfId="15909"/>
    <cellStyle name="表体数字 46 9" xfId="15913"/>
    <cellStyle name="表体数字 47" xfId="15917"/>
    <cellStyle name="表体数字 47 10" xfId="15920"/>
    <cellStyle name="表体数字 47 2" xfId="15923"/>
    <cellStyle name="表体数字 47 2 2" xfId="15925"/>
    <cellStyle name="表体数字 47 2 3" xfId="15927"/>
    <cellStyle name="表体数字 47 2 4" xfId="15929"/>
    <cellStyle name="表体数字 47 2 5" xfId="15931"/>
    <cellStyle name="表体数字 47 2 6" xfId="15933"/>
    <cellStyle name="表体数字 47 2 7" xfId="15935"/>
    <cellStyle name="表体数字 47 2 8" xfId="15937"/>
    <cellStyle name="表体数字 47 3" xfId="15940"/>
    <cellStyle name="表体数字 47 3 2" xfId="15942"/>
    <cellStyle name="表体数字 47 3 3" xfId="15944"/>
    <cellStyle name="表体数字 47 3 4" xfId="15946"/>
    <cellStyle name="表体数字 47 3 5" xfId="15948"/>
    <cellStyle name="表体数字 47 3 6" xfId="15950"/>
    <cellStyle name="表体数字 47 3 7" xfId="15952"/>
    <cellStyle name="表体数字 47 3 8" xfId="15954"/>
    <cellStyle name="表体数字 47 4" xfId="3826"/>
    <cellStyle name="表体数字 47 5" xfId="4728"/>
    <cellStyle name="表体数字 47 6" xfId="15957"/>
    <cellStyle name="表体数字 47 7" xfId="15961"/>
    <cellStyle name="表体数字 47 8" xfId="15965"/>
    <cellStyle name="表体数字 47 9" xfId="15969"/>
    <cellStyle name="表体数字 48" xfId="15973"/>
    <cellStyle name="表体数字 48 10" xfId="15975"/>
    <cellStyle name="表体数字 48 2" xfId="2609"/>
    <cellStyle name="表体数字 48 2 2" xfId="15977"/>
    <cellStyle name="表体数字 48 2 3" xfId="15979"/>
    <cellStyle name="表体数字 48 2 4" xfId="15981"/>
    <cellStyle name="表体数字 48 2 5" xfId="15983"/>
    <cellStyle name="表体数字 48 2 6" xfId="15985"/>
    <cellStyle name="表体数字 48 2 7" xfId="15987"/>
    <cellStyle name="表体数字 48 2 8" xfId="15989"/>
    <cellStyle name="表体数字 48 3" xfId="2616"/>
    <cellStyle name="表体数字 48 3 2" xfId="15991"/>
    <cellStyle name="表体数字 48 3 3" xfId="15993"/>
    <cellStyle name="表体数字 48 3 4" xfId="15995"/>
    <cellStyle name="表体数字 48 3 5" xfId="15997"/>
    <cellStyle name="表体数字 48 3 6" xfId="15999"/>
    <cellStyle name="表体数字 48 3 7" xfId="16001"/>
    <cellStyle name="表体数字 48 3 8" xfId="16003"/>
    <cellStyle name="表体数字 48 4" xfId="2623"/>
    <cellStyle name="表体数字 48 5" xfId="2631"/>
    <cellStyle name="表体数字 48 6" xfId="2639"/>
    <cellStyle name="表体数字 48 7" xfId="2646"/>
    <cellStyle name="表体数字 48 8" xfId="2655"/>
    <cellStyle name="表体数字 48 9" xfId="16005"/>
    <cellStyle name="表体数字 49" xfId="16008"/>
    <cellStyle name="表体数字 49 10" xfId="16010"/>
    <cellStyle name="表体数字 49 2" xfId="16012"/>
    <cellStyle name="表体数字 49 2 2" xfId="16014"/>
    <cellStyle name="表体数字 49 2 3" xfId="16016"/>
    <cellStyle name="表体数字 49 2 4" xfId="16018"/>
    <cellStyle name="表体数字 49 2 5" xfId="16020"/>
    <cellStyle name="表体数字 49 2 6" xfId="16022"/>
    <cellStyle name="表体数字 49 2 7" xfId="16024"/>
    <cellStyle name="表体数字 49 2 8" xfId="16026"/>
    <cellStyle name="表体数字 49 3" xfId="16028"/>
    <cellStyle name="表体数字 49 3 2" xfId="16030"/>
    <cellStyle name="表体数字 49 3 3" xfId="16032"/>
    <cellStyle name="表体数字 49 3 4" xfId="16034"/>
    <cellStyle name="表体数字 49 3 5" xfId="16036"/>
    <cellStyle name="表体数字 49 3 6" xfId="16038"/>
    <cellStyle name="表体数字 49 3 7" xfId="16040"/>
    <cellStyle name="表体数字 49 3 8" xfId="16042"/>
    <cellStyle name="表体数字 49 4" xfId="4102"/>
    <cellStyle name="表体数字 49 5" xfId="4110"/>
    <cellStyle name="表体数字 49 6" xfId="16044"/>
    <cellStyle name="表体数字 49 7" xfId="16046"/>
    <cellStyle name="表体数字 49 8" xfId="16048"/>
    <cellStyle name="表体数字 49 9" xfId="16051"/>
    <cellStyle name="表体数字 5" xfId="10003"/>
    <cellStyle name="表体数字 5 10" xfId="6405"/>
    <cellStyle name="表体数字 5 2" xfId="6563"/>
    <cellStyle name="表体数字 5 2 2" xfId="16054"/>
    <cellStyle name="表体数字 5 2 3" xfId="16056"/>
    <cellStyle name="表体数字 5 2 4" xfId="16058"/>
    <cellStyle name="表体数字 5 2 5" xfId="16060"/>
    <cellStyle name="表体数字 5 2 6" xfId="16062"/>
    <cellStyle name="表体数字 5 2 7" xfId="16063"/>
    <cellStyle name="表体数字 5 2 8" xfId="16064"/>
    <cellStyle name="表体数字 5 3" xfId="6568"/>
    <cellStyle name="表体数字 5 3 2" xfId="16065"/>
    <cellStyle name="表体数字 5 3 3" xfId="16069"/>
    <cellStyle name="表体数字 5 3 4" xfId="16073"/>
    <cellStyle name="表体数字 5 3 5" xfId="16077"/>
    <cellStyle name="表体数字 5 3 6" xfId="16081"/>
    <cellStyle name="表体数字 5 3 7" xfId="16084"/>
    <cellStyle name="表体数字 5 3 8" xfId="16085"/>
    <cellStyle name="表体数字 5 4" xfId="6572"/>
    <cellStyle name="表体数字 5 5" xfId="6579"/>
    <cellStyle name="表体数字 5 6" xfId="10007"/>
    <cellStyle name="表体数字 5 7" xfId="10009"/>
    <cellStyle name="表体数字 5 8" xfId="8871"/>
    <cellStyle name="表体数字 5 9" xfId="8873"/>
    <cellStyle name="表体数字 50" xfId="15821"/>
    <cellStyle name="表体数字 50 10" xfId="15824"/>
    <cellStyle name="表体数字 50 2" xfId="15827"/>
    <cellStyle name="表体数字 50 2 2" xfId="15829"/>
    <cellStyle name="表体数字 50 2 3" xfId="15831"/>
    <cellStyle name="表体数字 50 2 4" xfId="15833"/>
    <cellStyle name="表体数字 50 2 5" xfId="15835"/>
    <cellStyle name="表体数字 50 2 6" xfId="15837"/>
    <cellStyle name="表体数字 50 2 7" xfId="15839"/>
    <cellStyle name="表体数字 50 2 8" xfId="15841"/>
    <cellStyle name="表体数字 50 3" xfId="15843"/>
    <cellStyle name="表体数字 50 3 2" xfId="5483"/>
    <cellStyle name="表体数字 50 3 3" xfId="5486"/>
    <cellStyle name="表体数字 50 3 4" xfId="15845"/>
    <cellStyle name="表体数字 50 3 5" xfId="15847"/>
    <cellStyle name="表体数字 50 3 6" xfId="15849"/>
    <cellStyle name="表体数字 50 3 7" xfId="15851"/>
    <cellStyle name="表体数字 50 3 8" xfId="15853"/>
    <cellStyle name="表体数字 50 4" xfId="4709"/>
    <cellStyle name="表体数字 50 5" xfId="4712"/>
    <cellStyle name="表体数字 50 6" xfId="15855"/>
    <cellStyle name="表体数字 50 7" xfId="15857"/>
    <cellStyle name="表体数字 50 8" xfId="15859"/>
    <cellStyle name="表体数字 50 9" xfId="15861"/>
    <cellStyle name="表体数字 51" xfId="15863"/>
    <cellStyle name="表体数字 51 10" xfId="15866"/>
    <cellStyle name="表体数字 51 2" xfId="15870"/>
    <cellStyle name="表体数字 51 2 2" xfId="15872"/>
    <cellStyle name="表体数字 51 2 3" xfId="15874"/>
    <cellStyle name="表体数字 51 2 4" xfId="15876"/>
    <cellStyle name="表体数字 51 2 5" xfId="15878"/>
    <cellStyle name="表体数字 51 2 6" xfId="15880"/>
    <cellStyle name="表体数字 51 2 7" xfId="15882"/>
    <cellStyle name="表体数字 51 2 8" xfId="15884"/>
    <cellStyle name="表体数字 51 3" xfId="15886"/>
    <cellStyle name="表体数字 51 3 2" xfId="15888"/>
    <cellStyle name="表体数字 51 3 3" xfId="15890"/>
    <cellStyle name="表体数字 51 3 4" xfId="15892"/>
    <cellStyle name="表体数字 51 3 5" xfId="15894"/>
    <cellStyle name="表体数字 51 3 6" xfId="15896"/>
    <cellStyle name="表体数字 51 3 7" xfId="15898"/>
    <cellStyle name="表体数字 51 3 8" xfId="15900"/>
    <cellStyle name="表体数字 51 4" xfId="4719"/>
    <cellStyle name="表体数字 51 5" xfId="4722"/>
    <cellStyle name="表体数字 51 6" xfId="15902"/>
    <cellStyle name="表体数字 51 7" xfId="15906"/>
    <cellStyle name="表体数字 51 8" xfId="15910"/>
    <cellStyle name="表体数字 51 9" xfId="15914"/>
    <cellStyle name="表体数字 52" xfId="15918"/>
    <cellStyle name="表体数字 52 10" xfId="15921"/>
    <cellStyle name="表体数字 52 2" xfId="15924"/>
    <cellStyle name="表体数字 52 2 2" xfId="15926"/>
    <cellStyle name="表体数字 52 2 3" xfId="15928"/>
    <cellStyle name="表体数字 52 2 4" xfId="15930"/>
    <cellStyle name="表体数字 52 2 5" xfId="15932"/>
    <cellStyle name="表体数字 52 2 6" xfId="15934"/>
    <cellStyle name="表体数字 52 2 7" xfId="15936"/>
    <cellStyle name="表体数字 52 2 8" xfId="15938"/>
    <cellStyle name="表体数字 52 3" xfId="15941"/>
    <cellStyle name="表体数字 52 3 2" xfId="15943"/>
    <cellStyle name="表体数字 52 3 3" xfId="15945"/>
    <cellStyle name="表体数字 52 3 4" xfId="15947"/>
    <cellStyle name="表体数字 52 3 5" xfId="15949"/>
    <cellStyle name="表体数字 52 3 6" xfId="15951"/>
    <cellStyle name="表体数字 52 3 7" xfId="15953"/>
    <cellStyle name="表体数字 52 3 8" xfId="15955"/>
    <cellStyle name="表体数字 52 4" xfId="3825"/>
    <cellStyle name="表体数字 52 5" xfId="4729"/>
    <cellStyle name="表体数字 52 6" xfId="15958"/>
    <cellStyle name="表体数字 52 7" xfId="15962"/>
    <cellStyle name="表体数字 52 8" xfId="15966"/>
    <cellStyle name="表体数字 52 9" xfId="15970"/>
    <cellStyle name="表体数字 53" xfId="15974"/>
    <cellStyle name="表体数字 53 10" xfId="15976"/>
    <cellStyle name="表体数字 53 2" xfId="2608"/>
    <cellStyle name="表体数字 53 2 2" xfId="15978"/>
    <cellStyle name="表体数字 53 2 3" xfId="15980"/>
    <cellStyle name="表体数字 53 2 4" xfId="15982"/>
    <cellStyle name="表体数字 53 2 5" xfId="15984"/>
    <cellStyle name="表体数字 53 2 6" xfId="15986"/>
    <cellStyle name="表体数字 53 2 7" xfId="15988"/>
    <cellStyle name="表体数字 53 2 8" xfId="15990"/>
    <cellStyle name="表体数字 53 3" xfId="2615"/>
    <cellStyle name="表体数字 53 3 2" xfId="15992"/>
    <cellStyle name="表体数字 53 3 3" xfId="15994"/>
    <cellStyle name="表体数字 53 3 4" xfId="15996"/>
    <cellStyle name="表体数字 53 3 5" xfId="15998"/>
    <cellStyle name="表体数字 53 3 6" xfId="16000"/>
    <cellStyle name="表体数字 53 3 7" xfId="16002"/>
    <cellStyle name="表体数字 53 3 8" xfId="16004"/>
    <cellStyle name="表体数字 53 4" xfId="2622"/>
    <cellStyle name="表体数字 53 5" xfId="2630"/>
    <cellStyle name="表体数字 53 6" xfId="2638"/>
    <cellStyle name="表体数字 53 7" xfId="2645"/>
    <cellStyle name="表体数字 53 8" xfId="2654"/>
    <cellStyle name="表体数字 53 9" xfId="16006"/>
    <cellStyle name="表体数字 54" xfId="16009"/>
    <cellStyle name="表体数字 54 10" xfId="16011"/>
    <cellStyle name="表体数字 54 2" xfId="16013"/>
    <cellStyle name="表体数字 54 2 2" xfId="16015"/>
    <cellStyle name="表体数字 54 2 3" xfId="16017"/>
    <cellStyle name="表体数字 54 2 4" xfId="16019"/>
    <cellStyle name="表体数字 54 2 5" xfId="16021"/>
    <cellStyle name="表体数字 54 2 6" xfId="16023"/>
    <cellStyle name="表体数字 54 2 7" xfId="16025"/>
    <cellStyle name="表体数字 54 2 8" xfId="16027"/>
    <cellStyle name="表体数字 54 3" xfId="16029"/>
    <cellStyle name="表体数字 54 3 2" xfId="16031"/>
    <cellStyle name="表体数字 54 3 3" xfId="16033"/>
    <cellStyle name="表体数字 54 3 4" xfId="16035"/>
    <cellStyle name="表体数字 54 3 5" xfId="16037"/>
    <cellStyle name="表体数字 54 3 6" xfId="16039"/>
    <cellStyle name="表体数字 54 3 7" xfId="16041"/>
    <cellStyle name="表体数字 54 3 8" xfId="16043"/>
    <cellStyle name="表体数字 54 4" xfId="4103"/>
    <cellStyle name="表体数字 54 5" xfId="4111"/>
    <cellStyle name="表体数字 54 6" xfId="16045"/>
    <cellStyle name="表体数字 54 7" xfId="16047"/>
    <cellStyle name="表体数字 54 8" xfId="16049"/>
    <cellStyle name="表体数字 54 9" xfId="16052"/>
    <cellStyle name="表体数字 55" xfId="7127"/>
    <cellStyle name="表体数字 55 10" xfId="16086"/>
    <cellStyle name="表体数字 55 2" xfId="16088"/>
    <cellStyle name="表体数字 55 2 2" xfId="16090"/>
    <cellStyle name="表体数字 55 2 3" xfId="16092"/>
    <cellStyle name="表体数字 55 2 4" xfId="16094"/>
    <cellStyle name="表体数字 55 2 5" xfId="16096"/>
    <cellStyle name="表体数字 55 2 6" xfId="16098"/>
    <cellStyle name="表体数字 55 2 7" xfId="16100"/>
    <cellStyle name="表体数字 55 2 8" xfId="16102"/>
    <cellStyle name="表体数字 55 3" xfId="16104"/>
    <cellStyle name="表体数字 55 3 2" xfId="16106"/>
    <cellStyle name="表体数字 55 3 3" xfId="16108"/>
    <cellStyle name="表体数字 55 3 4" xfId="16110"/>
    <cellStyle name="表体数字 55 3 5" xfId="16112"/>
    <cellStyle name="表体数字 55 3 6" xfId="16114"/>
    <cellStyle name="表体数字 55 3 7" xfId="16116"/>
    <cellStyle name="表体数字 55 3 8" xfId="16118"/>
    <cellStyle name="表体数字 55 4" xfId="4157"/>
    <cellStyle name="表体数字 55 5" xfId="4166"/>
    <cellStyle name="表体数字 55 6" xfId="16120"/>
    <cellStyle name="表体数字 55 7" xfId="16122"/>
    <cellStyle name="表体数字 55 8" xfId="16124"/>
    <cellStyle name="表体数字 55 9" xfId="16126"/>
    <cellStyle name="表体数字 56" xfId="7132"/>
    <cellStyle name="表体数字 56 10" xfId="16130"/>
    <cellStyle name="表体数字 56 2" xfId="16134"/>
    <cellStyle name="表体数字 56 2 2" xfId="16136"/>
    <cellStyle name="表体数字 56 2 3" xfId="16138"/>
    <cellStyle name="表体数字 56 2 4" xfId="16140"/>
    <cellStyle name="表体数字 56 2 5" xfId="16142"/>
    <cellStyle name="表体数字 56 2 6" xfId="16144"/>
    <cellStyle name="表体数字 56 2 7" xfId="16146"/>
    <cellStyle name="表体数字 56 2 8" xfId="16148"/>
    <cellStyle name="表体数字 56 3" xfId="16150"/>
    <cellStyle name="表体数字 56 3 2" xfId="16152"/>
    <cellStyle name="表体数字 56 3 3" xfId="16154"/>
    <cellStyle name="表体数字 56 3 4" xfId="16156"/>
    <cellStyle name="表体数字 56 3 5" xfId="16158"/>
    <cellStyle name="表体数字 56 3 6" xfId="16160"/>
    <cellStyle name="表体数字 56 3 7" xfId="16162"/>
    <cellStyle name="表体数字 56 3 8" xfId="16164"/>
    <cellStyle name="表体数字 56 4" xfId="9164"/>
    <cellStyle name="表体数字 56 5" xfId="9167"/>
    <cellStyle name="表体数字 56 6" xfId="9170"/>
    <cellStyle name="表体数字 56 7" xfId="9173"/>
    <cellStyle name="表体数字 56 8" xfId="9176"/>
    <cellStyle name="表体数字 56 9" xfId="9178"/>
    <cellStyle name="表体数字 57" xfId="1593"/>
    <cellStyle name="表体数字 57 10" xfId="16166"/>
    <cellStyle name="表体数字 57 2" xfId="16169"/>
    <cellStyle name="表体数字 57 2 2" xfId="16171"/>
    <cellStyle name="表体数字 57 2 3" xfId="16173"/>
    <cellStyle name="表体数字 57 2 4" xfId="16175"/>
    <cellStyle name="表体数字 57 2 5" xfId="16177"/>
    <cellStyle name="表体数字 57 2 6" xfId="16179"/>
    <cellStyle name="表体数字 57 2 7" xfId="16181"/>
    <cellStyle name="表体数字 57 2 8" xfId="16183"/>
    <cellStyle name="表体数字 57 3" xfId="16185"/>
    <cellStyle name="表体数字 57 3 2" xfId="16187"/>
    <cellStyle name="表体数字 57 3 3" xfId="16189"/>
    <cellStyle name="表体数字 57 3 4" xfId="16191"/>
    <cellStyle name="表体数字 57 3 5" xfId="16193"/>
    <cellStyle name="表体数字 57 3 6" xfId="16195"/>
    <cellStyle name="表体数字 57 3 7" xfId="16197"/>
    <cellStyle name="表体数字 57 3 8" xfId="16199"/>
    <cellStyle name="表体数字 57 4" xfId="9192"/>
    <cellStyle name="表体数字 57 5" xfId="9195"/>
    <cellStyle name="表体数字 57 6" xfId="9198"/>
    <cellStyle name="表体数字 57 7" xfId="9201"/>
    <cellStyle name="表体数字 57 8" xfId="9204"/>
    <cellStyle name="表体数字 57 9" xfId="9208"/>
    <cellStyle name="表体数字 58" xfId="1602"/>
    <cellStyle name="表体数字 58 10" xfId="16201"/>
    <cellStyle name="表体数字 58 2" xfId="5655"/>
    <cellStyle name="表体数字 58 2 2" xfId="16203"/>
    <cellStyle name="表体数字 58 2 3" xfId="16206"/>
    <cellStyle name="表体数字 58 2 4" xfId="16209"/>
    <cellStyle name="表体数字 58 2 5" xfId="16212"/>
    <cellStyle name="表体数字 58 2 6" xfId="16215"/>
    <cellStyle name="表体数字 58 2 7" xfId="16218"/>
    <cellStyle name="表体数字 58 2 8" xfId="16220"/>
    <cellStyle name="表体数字 58 3" xfId="5753"/>
    <cellStyle name="表体数字 58 3 2" xfId="16222"/>
    <cellStyle name="表体数字 58 3 3" xfId="3217"/>
    <cellStyle name="表体数字 58 3 4" xfId="3234"/>
    <cellStyle name="表体数字 58 3 5" xfId="16225"/>
    <cellStyle name="表体数字 58 3 6" xfId="16228"/>
    <cellStyle name="表体数字 58 3 7" xfId="16231"/>
    <cellStyle name="表体数字 58 3 8" xfId="16233"/>
    <cellStyle name="表体数字 58 4" xfId="5540"/>
    <cellStyle name="表体数字 58 5" xfId="5546"/>
    <cellStyle name="表体数字 58 6" xfId="5552"/>
    <cellStyle name="表体数字 58 7" xfId="5560"/>
    <cellStyle name="表体数字 58 8" xfId="5567"/>
    <cellStyle name="表体数字 58 9" xfId="16235"/>
    <cellStyle name="表体数字 59" xfId="7135"/>
    <cellStyle name="表体数字 59 10" xfId="16238"/>
    <cellStyle name="表体数字 59 2" xfId="16240"/>
    <cellStyle name="表体数字 59 2 2" xfId="16242"/>
    <cellStyle name="表体数字 59 2 3" xfId="16246"/>
    <cellStyle name="表体数字 59 2 4" xfId="16248"/>
    <cellStyle name="表体数字 59 2 5" xfId="16250"/>
    <cellStyle name="表体数字 59 2 6" xfId="16252"/>
    <cellStyle name="表体数字 59 2 7" xfId="16254"/>
    <cellStyle name="表体数字 59 2 8" xfId="16256"/>
    <cellStyle name="表体数字 59 3" xfId="16258"/>
    <cellStyle name="表体数字 59 3 2" xfId="16260"/>
    <cellStyle name="表体数字 59 3 3" xfId="16264"/>
    <cellStyle name="表体数字 59 3 4" xfId="16266"/>
    <cellStyle name="表体数字 59 3 5" xfId="16268"/>
    <cellStyle name="表体数字 59 3 6" xfId="16270"/>
    <cellStyle name="表体数字 59 3 7" xfId="16272"/>
    <cellStyle name="表体数字 59 3 8" xfId="16274"/>
    <cellStyle name="表体数字 59 4" xfId="16276"/>
    <cellStyle name="表体数字 59 5" xfId="16278"/>
    <cellStyle name="表体数字 59 6" xfId="16280"/>
    <cellStyle name="表体数字 59 7" xfId="16282"/>
    <cellStyle name="表体数字 59 8" xfId="16284"/>
    <cellStyle name="表体数字 59 9" xfId="16287"/>
    <cellStyle name="表体数字 6" xfId="10011"/>
    <cellStyle name="表体数字 6 10" xfId="16290"/>
    <cellStyle name="表体数字 6 2" xfId="10015"/>
    <cellStyle name="表体数字 6 2 2" xfId="16291"/>
    <cellStyle name="表体数字 6 2 3" xfId="16292"/>
    <cellStyle name="表体数字 6 2 4" xfId="16293"/>
    <cellStyle name="表体数字 6 2 5" xfId="16294"/>
    <cellStyle name="表体数字 6 2 6" xfId="16295"/>
    <cellStyle name="表体数字 6 2 7" xfId="16296"/>
    <cellStyle name="表体数字 6 2 8" xfId="16297"/>
    <cellStyle name="表体数字 6 3" xfId="10017"/>
    <cellStyle name="表体数字 6 3 2" xfId="16298"/>
    <cellStyle name="表体数字 6 3 3" xfId="16301"/>
    <cellStyle name="表体数字 6 3 4" xfId="16304"/>
    <cellStyle name="表体数字 6 3 5" xfId="16307"/>
    <cellStyle name="表体数字 6 3 6" xfId="16310"/>
    <cellStyle name="表体数字 6 3 7" xfId="16313"/>
    <cellStyle name="表体数字 6 3 8" xfId="16314"/>
    <cellStyle name="表体数字 6 4" xfId="10019"/>
    <cellStyle name="表体数字 6 5" xfId="10021"/>
    <cellStyle name="表体数字 6 6" xfId="10023"/>
    <cellStyle name="表体数字 6 7" xfId="10025"/>
    <cellStyle name="表体数字 6 8" xfId="8877"/>
    <cellStyle name="表体数字 6 9" xfId="8879"/>
    <cellStyle name="表体数字 60" xfId="7128"/>
    <cellStyle name="表体数字 60 10" xfId="16087"/>
    <cellStyle name="表体数字 60 2" xfId="16089"/>
    <cellStyle name="表体数字 60 2 2" xfId="16091"/>
    <cellStyle name="表体数字 60 2 3" xfId="16093"/>
    <cellStyle name="表体数字 60 2 4" xfId="16095"/>
    <cellStyle name="表体数字 60 2 5" xfId="16097"/>
    <cellStyle name="表体数字 60 2 6" xfId="16099"/>
    <cellStyle name="表体数字 60 2 7" xfId="16101"/>
    <cellStyle name="表体数字 60 2 8" xfId="16103"/>
    <cellStyle name="表体数字 60 3" xfId="16105"/>
    <cellStyle name="表体数字 60 3 2" xfId="16107"/>
    <cellStyle name="表体数字 60 3 3" xfId="16109"/>
    <cellStyle name="表体数字 60 3 4" xfId="16111"/>
    <cellStyle name="表体数字 60 3 5" xfId="16113"/>
    <cellStyle name="表体数字 60 3 6" xfId="16115"/>
    <cellStyle name="表体数字 60 3 7" xfId="16117"/>
    <cellStyle name="表体数字 60 3 8" xfId="16119"/>
    <cellStyle name="表体数字 60 4" xfId="4158"/>
    <cellStyle name="表体数字 60 5" xfId="4167"/>
    <cellStyle name="表体数字 60 6" xfId="16121"/>
    <cellStyle name="表体数字 60 7" xfId="16123"/>
    <cellStyle name="表体数字 60 8" xfId="16125"/>
    <cellStyle name="表体数字 60 9" xfId="16127"/>
    <cellStyle name="表体数字 61" xfId="7133"/>
    <cellStyle name="表体数字 61 10" xfId="16131"/>
    <cellStyle name="表体数字 61 2" xfId="16135"/>
    <cellStyle name="表体数字 61 2 2" xfId="16137"/>
    <cellStyle name="表体数字 61 2 3" xfId="16139"/>
    <cellStyle name="表体数字 61 2 4" xfId="16141"/>
    <cellStyle name="表体数字 61 2 5" xfId="16143"/>
    <cellStyle name="表体数字 61 2 6" xfId="16145"/>
    <cellStyle name="表体数字 61 2 7" xfId="16147"/>
    <cellStyle name="表体数字 61 2 8" xfId="16149"/>
    <cellStyle name="表体数字 61 3" xfId="16151"/>
    <cellStyle name="表体数字 61 3 2" xfId="16153"/>
    <cellStyle name="表体数字 61 3 3" xfId="16155"/>
    <cellStyle name="表体数字 61 3 4" xfId="16157"/>
    <cellStyle name="表体数字 61 3 5" xfId="16159"/>
    <cellStyle name="表体数字 61 3 6" xfId="16161"/>
    <cellStyle name="表体数字 61 3 7" xfId="16163"/>
    <cellStyle name="表体数字 61 3 8" xfId="16165"/>
    <cellStyle name="表体数字 61 4" xfId="9165"/>
    <cellStyle name="表体数字 61 5" xfId="9168"/>
    <cellStyle name="表体数字 61 6" xfId="9171"/>
    <cellStyle name="表体数字 61 7" xfId="9174"/>
    <cellStyle name="表体数字 61 8" xfId="9177"/>
    <cellStyle name="表体数字 61 9" xfId="9179"/>
    <cellStyle name="表体数字 62" xfId="1592"/>
    <cellStyle name="表体数字 62 10" xfId="16167"/>
    <cellStyle name="表体数字 62 2" xfId="16170"/>
    <cellStyle name="表体数字 62 2 2" xfId="16172"/>
    <cellStyle name="表体数字 62 2 3" xfId="16174"/>
    <cellStyle name="表体数字 62 2 4" xfId="16176"/>
    <cellStyle name="表体数字 62 2 5" xfId="16178"/>
    <cellStyle name="表体数字 62 2 6" xfId="16180"/>
    <cellStyle name="表体数字 62 2 7" xfId="16182"/>
    <cellStyle name="表体数字 62 2 8" xfId="16184"/>
    <cellStyle name="表体数字 62 3" xfId="16186"/>
    <cellStyle name="表体数字 62 3 2" xfId="16188"/>
    <cellStyle name="表体数字 62 3 3" xfId="16190"/>
    <cellStyle name="表体数字 62 3 4" xfId="16192"/>
    <cellStyle name="表体数字 62 3 5" xfId="16194"/>
    <cellStyle name="表体数字 62 3 6" xfId="16196"/>
    <cellStyle name="表体数字 62 3 7" xfId="16198"/>
    <cellStyle name="表体数字 62 3 8" xfId="16200"/>
    <cellStyle name="表体数字 62 4" xfId="9193"/>
    <cellStyle name="表体数字 62 5" xfId="9196"/>
    <cellStyle name="表体数字 62 6" xfId="9199"/>
    <cellStyle name="表体数字 62 7" xfId="9202"/>
    <cellStyle name="表体数字 62 8" xfId="9205"/>
    <cellStyle name="表体数字 62 9" xfId="9209"/>
    <cellStyle name="表体数字 63" xfId="1601"/>
    <cellStyle name="表体数字 63 10" xfId="16202"/>
    <cellStyle name="表体数字 63 2" xfId="5656"/>
    <cellStyle name="表体数字 63 2 2" xfId="16204"/>
    <cellStyle name="表体数字 63 2 3" xfId="16207"/>
    <cellStyle name="表体数字 63 2 4" xfId="16210"/>
    <cellStyle name="表体数字 63 2 5" xfId="16213"/>
    <cellStyle name="表体数字 63 2 6" xfId="16216"/>
    <cellStyle name="表体数字 63 2 7" xfId="16219"/>
    <cellStyle name="表体数字 63 2 8" xfId="16221"/>
    <cellStyle name="表体数字 63 3" xfId="5754"/>
    <cellStyle name="表体数字 63 3 2" xfId="16223"/>
    <cellStyle name="表体数字 63 3 3" xfId="3216"/>
    <cellStyle name="表体数字 63 3 4" xfId="3233"/>
    <cellStyle name="表体数字 63 3 5" xfId="16226"/>
    <cellStyle name="表体数字 63 3 6" xfId="16229"/>
    <cellStyle name="表体数字 63 3 7" xfId="16232"/>
    <cellStyle name="表体数字 63 3 8" xfId="16234"/>
    <cellStyle name="表体数字 63 4" xfId="5541"/>
    <cellStyle name="表体数字 63 5" xfId="5547"/>
    <cellStyle name="表体数字 63 6" xfId="5553"/>
    <cellStyle name="表体数字 63 7" xfId="5561"/>
    <cellStyle name="表体数字 63 8" xfId="5568"/>
    <cellStyle name="表体数字 63 9" xfId="16236"/>
    <cellStyle name="表体数字 64" xfId="7136"/>
    <cellStyle name="表体数字 64 10" xfId="16239"/>
    <cellStyle name="表体数字 64 2" xfId="16241"/>
    <cellStyle name="表体数字 64 2 2" xfId="16243"/>
    <cellStyle name="表体数字 64 2 3" xfId="16247"/>
    <cellStyle name="表体数字 64 2 4" xfId="16249"/>
    <cellStyle name="表体数字 64 2 5" xfId="16251"/>
    <cellStyle name="表体数字 64 2 6" xfId="16253"/>
    <cellStyle name="表体数字 64 2 7" xfId="16255"/>
    <cellStyle name="表体数字 64 2 8" xfId="16257"/>
    <cellStyle name="表体数字 64 3" xfId="16259"/>
    <cellStyle name="表体数字 64 3 2" xfId="16261"/>
    <cellStyle name="表体数字 64 3 3" xfId="16265"/>
    <cellStyle name="表体数字 64 3 4" xfId="16267"/>
    <cellStyle name="表体数字 64 3 5" xfId="16269"/>
    <cellStyle name="表体数字 64 3 6" xfId="16271"/>
    <cellStyle name="表体数字 64 3 7" xfId="16273"/>
    <cellStyle name="表体数字 64 3 8" xfId="16275"/>
    <cellStyle name="表体数字 64 4" xfId="16277"/>
    <cellStyle name="表体数字 64 5" xfId="16279"/>
    <cellStyle name="表体数字 64 6" xfId="16281"/>
    <cellStyle name="表体数字 64 7" xfId="16283"/>
    <cellStyle name="表体数字 64 8" xfId="16285"/>
    <cellStyle name="表体数字 64 9" xfId="16288"/>
    <cellStyle name="表体数字 65" xfId="7138"/>
    <cellStyle name="表体数字 65 10" xfId="16315"/>
    <cellStyle name="表体数字 65 2" xfId="16316"/>
    <cellStyle name="表体数字 65 2 2" xfId="16317"/>
    <cellStyle name="表体数字 65 2 3" xfId="16318"/>
    <cellStyle name="表体数字 65 2 4" xfId="9131"/>
    <cellStyle name="表体数字 65 2 5" xfId="12816"/>
    <cellStyle name="表体数字 65 2 6" xfId="12818"/>
    <cellStyle name="表体数字 65 2 7" xfId="12822"/>
    <cellStyle name="表体数字 65 2 8" xfId="12826"/>
    <cellStyle name="表体数字 65 3" xfId="16319"/>
    <cellStyle name="表体数字 65 3 2" xfId="16320"/>
    <cellStyle name="表体数字 65 3 3" xfId="16322"/>
    <cellStyle name="表体数字 65 3 4" xfId="16324"/>
    <cellStyle name="表体数字 65 3 5" xfId="12847"/>
    <cellStyle name="表体数字 65 3 6" xfId="12850"/>
    <cellStyle name="表体数字 65 3 7" xfId="12856"/>
    <cellStyle name="表体数字 65 3 8" xfId="12862"/>
    <cellStyle name="表体数字 65 4" xfId="16326"/>
    <cellStyle name="表体数字 65 5" xfId="16327"/>
    <cellStyle name="表体数字 65 6" xfId="16328"/>
    <cellStyle name="表体数字 65 7" xfId="16329"/>
    <cellStyle name="表体数字 65 8" xfId="16330"/>
    <cellStyle name="表体数字 65 9" xfId="16332"/>
    <cellStyle name="表体数字 66" xfId="7141"/>
    <cellStyle name="表体数字 66 10" xfId="16334"/>
    <cellStyle name="表体数字 66 2" xfId="16337"/>
    <cellStyle name="表体数字 66 2 2" xfId="16338"/>
    <cellStyle name="表体数字 66 2 3" xfId="16339"/>
    <cellStyle name="表体数字 66 2 4" xfId="16340"/>
    <cellStyle name="表体数字 66 2 5" xfId="16341"/>
    <cellStyle name="表体数字 66 2 6" xfId="16342"/>
    <cellStyle name="表体数字 66 2 7" xfId="16343"/>
    <cellStyle name="表体数字 66 2 8" xfId="16344"/>
    <cellStyle name="表体数字 66 3" xfId="16345"/>
    <cellStyle name="表体数字 66 3 2" xfId="16346"/>
    <cellStyle name="表体数字 66 3 3" xfId="16349"/>
    <cellStyle name="表体数字 66 3 4" xfId="16352"/>
    <cellStyle name="表体数字 66 3 5" xfId="16355"/>
    <cellStyle name="表体数字 66 3 6" xfId="16358"/>
    <cellStyle name="表体数字 66 3 7" xfId="16361"/>
    <cellStyle name="表体数字 66 3 8" xfId="16364"/>
    <cellStyle name="表体数字 66 4" xfId="16367"/>
    <cellStyle name="表体数字 66 5" xfId="16368"/>
    <cellStyle name="表体数字 66 6" xfId="16369"/>
    <cellStyle name="表体数字 66 7" xfId="16370"/>
    <cellStyle name="表体数字 66 8" xfId="16371"/>
    <cellStyle name="表体数字 66 9" xfId="16373"/>
    <cellStyle name="表体数字 67" xfId="16375"/>
    <cellStyle name="表体数字 67 2" xfId="16377"/>
    <cellStyle name="表体数字 67 3" xfId="16378"/>
    <cellStyle name="表体数字 67 4" xfId="16379"/>
    <cellStyle name="表体数字 67 5" xfId="16380"/>
    <cellStyle name="表体数字 67 6" xfId="16381"/>
    <cellStyle name="表体数字 67 7" xfId="16382"/>
    <cellStyle name="表体数字 67 8" xfId="16383"/>
    <cellStyle name="表体数字 68" xfId="16386"/>
    <cellStyle name="表体数字 68 2" xfId="5896"/>
    <cellStyle name="表体数字 68 3" xfId="5773"/>
    <cellStyle name="表体数字 68 4" xfId="5582"/>
    <cellStyle name="表体数字 68 5" xfId="5506"/>
    <cellStyle name="表体数字 68 6" xfId="5514"/>
    <cellStyle name="表体数字 68 7" xfId="5588"/>
    <cellStyle name="表体数字 68 8" xfId="5597"/>
    <cellStyle name="表体数字 69" xfId="16388"/>
    <cellStyle name="表体数字 7" xfId="5207"/>
    <cellStyle name="表体数字 7 10" xfId="16390"/>
    <cellStyle name="表体数字 7 2" xfId="5213"/>
    <cellStyle name="表体数字 7 2 2" xfId="12638"/>
    <cellStyle name="表体数字 7 2 3" xfId="12640"/>
    <cellStyle name="表体数字 7 2 4" xfId="16391"/>
    <cellStyle name="表体数字 7 2 5" xfId="16392"/>
    <cellStyle name="表体数字 7 2 6" xfId="16395"/>
    <cellStyle name="表体数字 7 2 7" xfId="620"/>
    <cellStyle name="表体数字 7 2 8" xfId="16398"/>
    <cellStyle name="表体数字 7 3" xfId="3374"/>
    <cellStyle name="表体数字 7 3 2" xfId="12643"/>
    <cellStyle name="表体数字 7 3 3" xfId="12648"/>
    <cellStyle name="表体数字 7 3 4" xfId="16401"/>
    <cellStyle name="表体数字 7 3 5" xfId="16404"/>
    <cellStyle name="表体数字 7 3 6" xfId="16409"/>
    <cellStyle name="表体数字 7 3 7" xfId="16414"/>
    <cellStyle name="表体数字 7 3 8" xfId="16417"/>
    <cellStyle name="表体数字 7 4" xfId="12653"/>
    <cellStyle name="表体数字 7 5" xfId="12656"/>
    <cellStyle name="表体数字 7 6" xfId="12659"/>
    <cellStyle name="表体数字 7 7" xfId="12672"/>
    <cellStyle name="表体数字 7 8" xfId="8884"/>
    <cellStyle name="表体数字 7 9" xfId="8887"/>
    <cellStyle name="表体数字 70" xfId="7139"/>
    <cellStyle name="表体数字 71" xfId="7142"/>
    <cellStyle name="表体数字 72" xfId="16376"/>
    <cellStyle name="表体数字 73" xfId="16387"/>
    <cellStyle name="表体数字 74" xfId="16389"/>
    <cellStyle name="表体数字 75" xfId="16420"/>
    <cellStyle name="表体数字 8" xfId="10027"/>
    <cellStyle name="表体数字 8 10" xfId="16421"/>
    <cellStyle name="表体数字 8 2" xfId="16424"/>
    <cellStyle name="表体数字 8 2 2" xfId="16425"/>
    <cellStyle name="表体数字 8 2 3" xfId="16426"/>
    <cellStyle name="表体数字 8 2 4" xfId="16427"/>
    <cellStyle name="表体数字 8 2 5" xfId="16428"/>
    <cellStyle name="表体数字 8 2 6" xfId="16429"/>
    <cellStyle name="表体数字 8 2 7" xfId="16430"/>
    <cellStyle name="表体数字 8 2 8" xfId="16431"/>
    <cellStyle name="表体数字 8 3" xfId="16432"/>
    <cellStyle name="表体数字 8 3 2" xfId="16433"/>
    <cellStyle name="表体数字 8 3 3" xfId="16436"/>
    <cellStyle name="表体数字 8 3 4" xfId="16439"/>
    <cellStyle name="表体数字 8 3 5" xfId="16442"/>
    <cellStyle name="表体数字 8 3 6" xfId="16445"/>
    <cellStyle name="表体数字 8 3 7" xfId="16448"/>
    <cellStyle name="表体数字 8 3 8" xfId="16449"/>
    <cellStyle name="表体数字 8 4" xfId="16450"/>
    <cellStyle name="表体数字 8 5" xfId="16451"/>
    <cellStyle name="表体数字 8 6" xfId="16452"/>
    <cellStyle name="表体数字 8 7" xfId="16453"/>
    <cellStyle name="表体数字 8 8" xfId="8890"/>
    <cellStyle name="表体数字 8 9" xfId="8892"/>
    <cellStyle name="表体数字 9" xfId="10029"/>
    <cellStyle name="表体数字 9 10" xfId="9212"/>
    <cellStyle name="表体数字 9 2" xfId="16454"/>
    <cellStyle name="表体数字 9 2 2" xfId="16458"/>
    <cellStyle name="表体数字 9 2 3" xfId="16459"/>
    <cellStyle name="表体数字 9 2 4" xfId="16460"/>
    <cellStyle name="表体数字 9 2 5" xfId="16461"/>
    <cellStyle name="表体数字 9 2 6" xfId="16462"/>
    <cellStyle name="表体数字 9 2 7" xfId="16463"/>
    <cellStyle name="表体数字 9 2 8" xfId="16464"/>
    <cellStyle name="表体数字 9 3" xfId="16465"/>
    <cellStyle name="表体数字 9 3 2" xfId="16469"/>
    <cellStyle name="表体数字 9 3 3" xfId="16472"/>
    <cellStyle name="表体数字 9 3 4" xfId="16475"/>
    <cellStyle name="表体数字 9 3 5" xfId="16478"/>
    <cellStyle name="表体数字 9 3 6" xfId="16481"/>
    <cellStyle name="表体数字 9 3 7" xfId="16484"/>
    <cellStyle name="表体数字 9 3 8" xfId="16485"/>
    <cellStyle name="表体数字 9 4" xfId="16486"/>
    <cellStyle name="表体数字 9 5" xfId="16490"/>
    <cellStyle name="表体数字 9 6" xfId="16494"/>
    <cellStyle name="表体数字 9 7" xfId="16498"/>
    <cellStyle name="表体数字 9 8" xfId="8895"/>
    <cellStyle name="表体数字 9 9" xfId="8898"/>
    <cellStyle name="表体数字(小)" xfId="16501"/>
    <cellStyle name="表体数字(小) 10" xfId="16502"/>
    <cellStyle name="表体数字(小) 10 10" xfId="16505"/>
    <cellStyle name="表体数字(小) 10 2" xfId="16509"/>
    <cellStyle name="表体数字(小) 10 2 2" xfId="16510"/>
    <cellStyle name="表体数字(小) 10 2 3" xfId="10079"/>
    <cellStyle name="表体数字(小) 10 2 4" xfId="16511"/>
    <cellStyle name="表体数字(小) 10 2 5" xfId="16512"/>
    <cellStyle name="表体数字(小) 10 2 6" xfId="16513"/>
    <cellStyle name="表体数字(小) 10 2 7" xfId="16514"/>
    <cellStyle name="表体数字(小) 10 2 8" xfId="16515"/>
    <cellStyle name="表体数字(小) 10 3" xfId="16516"/>
    <cellStyle name="表体数字(小) 10 3 2" xfId="16517"/>
    <cellStyle name="表体数字(小) 10 3 3" xfId="16520"/>
    <cellStyle name="表体数字(小) 10 3 4" xfId="16523"/>
    <cellStyle name="表体数字(小) 10 3 5" xfId="16524"/>
    <cellStyle name="表体数字(小) 10 3 6" xfId="16525"/>
    <cellStyle name="表体数字(小) 10 3 7" xfId="16526"/>
    <cellStyle name="表体数字(小) 10 3 8" xfId="16527"/>
    <cellStyle name="表体数字(小) 10 4" xfId="16528"/>
    <cellStyle name="表体数字(小) 10 5" xfId="16529"/>
    <cellStyle name="表体数字(小) 10 6" xfId="16530"/>
    <cellStyle name="表体数字(小) 10 7" xfId="16531"/>
    <cellStyle name="表体数字(小) 10 8" xfId="16532"/>
    <cellStyle name="表体数字(小) 10 9" xfId="16533"/>
    <cellStyle name="表体数字(小) 11" xfId="16534"/>
    <cellStyle name="表体数字(小) 11 10" xfId="16535"/>
    <cellStyle name="表体数字(小) 11 2" xfId="16538"/>
    <cellStyle name="表体数字(小) 11 2 2" xfId="16539"/>
    <cellStyle name="表体数字(小) 11 2 3" xfId="10734"/>
    <cellStyle name="表体数字(小) 11 2 4" xfId="16540"/>
    <cellStyle name="表体数字(小) 11 2 5" xfId="16541"/>
    <cellStyle name="表体数字(小) 11 2 6" xfId="16542"/>
    <cellStyle name="表体数字(小) 11 2 7" xfId="16543"/>
    <cellStyle name="表体数字(小) 11 2 8" xfId="16545"/>
    <cellStyle name="表体数字(小) 11 3" xfId="16546"/>
    <cellStyle name="表体数字(小) 11 3 2" xfId="16547"/>
    <cellStyle name="表体数字(小) 11 3 3" xfId="16550"/>
    <cellStyle name="表体数字(小) 11 3 4" xfId="16553"/>
    <cellStyle name="表体数字(小) 11 3 5" xfId="16554"/>
    <cellStyle name="表体数字(小) 11 3 6" xfId="16555"/>
    <cellStyle name="表体数字(小) 11 3 7" xfId="16556"/>
    <cellStyle name="表体数字(小) 11 3 8" xfId="16557"/>
    <cellStyle name="表体数字(小) 11 4" xfId="16558"/>
    <cellStyle name="表体数字(小) 11 5" xfId="16559"/>
    <cellStyle name="表体数字(小) 11 6" xfId="16560"/>
    <cellStyle name="表体数字(小) 11 7" xfId="16561"/>
    <cellStyle name="表体数字(小) 11 8" xfId="16562"/>
    <cellStyle name="表体数字(小) 11 9" xfId="16563"/>
    <cellStyle name="表体数字(小) 12" xfId="16564"/>
    <cellStyle name="表体数字(小) 12 10" xfId="16565"/>
    <cellStyle name="表体数字(小) 12 2" xfId="16566"/>
    <cellStyle name="表体数字(小) 12 2 2" xfId="6450"/>
    <cellStyle name="表体数字(小) 12 2 3" xfId="16567"/>
    <cellStyle name="表体数字(小) 12 2 4" xfId="16570"/>
    <cellStyle name="表体数字(小) 12 2 5" xfId="16573"/>
    <cellStyle name="表体数字(小) 12 2 6" xfId="3084"/>
    <cellStyle name="表体数字(小) 12 2 7" xfId="12205"/>
    <cellStyle name="表体数字(小) 12 2 8" xfId="12208"/>
    <cellStyle name="表体数字(小) 12 3" xfId="16576"/>
    <cellStyle name="表体数字(小) 12 3 2" xfId="16577"/>
    <cellStyle name="表体数字(小) 12 3 3" xfId="16582"/>
    <cellStyle name="表体数字(小) 12 3 4" xfId="16587"/>
    <cellStyle name="表体数字(小) 12 3 5" xfId="16590"/>
    <cellStyle name="表体数字(小) 12 3 6" xfId="16593"/>
    <cellStyle name="表体数字(小) 12 3 7" xfId="12212"/>
    <cellStyle name="表体数字(小) 12 3 8" xfId="12214"/>
    <cellStyle name="表体数字(小) 12 4" xfId="16596"/>
    <cellStyle name="表体数字(小) 12 5" xfId="16597"/>
    <cellStyle name="表体数字(小) 12 6" xfId="16598"/>
    <cellStyle name="表体数字(小) 12 7" xfId="16599"/>
    <cellStyle name="表体数字(小) 12 8" xfId="16600"/>
    <cellStyle name="表体数字(小) 12 9" xfId="5066"/>
    <cellStyle name="表体数字(小) 13" xfId="16601"/>
    <cellStyle name="表体数字(小) 13 10" xfId="16602"/>
    <cellStyle name="表体数字(小) 13 2" xfId="16603"/>
    <cellStyle name="表体数字(小) 13 2 2" xfId="12450"/>
    <cellStyle name="表体数字(小) 13 2 3" xfId="12452"/>
    <cellStyle name="表体数字(小) 13 2 4" xfId="12454"/>
    <cellStyle name="表体数字(小) 13 2 5" xfId="12456"/>
    <cellStyle name="表体数字(小) 13 2 6" xfId="12458"/>
    <cellStyle name="表体数字(小) 13 2 7" xfId="12248"/>
    <cellStyle name="表体数字(小) 13 2 8" xfId="12250"/>
    <cellStyle name="表体数字(小) 13 3" xfId="16604"/>
    <cellStyle name="表体数字(小) 13 3 2" xfId="16605"/>
    <cellStyle name="表体数字(小) 13 3 3" xfId="16607"/>
    <cellStyle name="表体数字(小) 13 3 4" xfId="16609"/>
    <cellStyle name="表体数字(小) 13 3 5" xfId="16610"/>
    <cellStyle name="表体数字(小) 13 3 6" xfId="16611"/>
    <cellStyle name="表体数字(小) 13 3 7" xfId="12255"/>
    <cellStyle name="表体数字(小) 13 3 8" xfId="12257"/>
    <cellStyle name="表体数字(小) 13 4" xfId="16612"/>
    <cellStyle name="表体数字(小) 13 5" xfId="16613"/>
    <cellStyle name="表体数字(小) 13 6" xfId="16614"/>
    <cellStyle name="表体数字(小) 13 7" xfId="16615"/>
    <cellStyle name="表体数字(小) 13 8" xfId="16616"/>
    <cellStyle name="表体数字(小) 13 9" xfId="16617"/>
    <cellStyle name="表体数字(小) 14" xfId="16618"/>
    <cellStyle name="表体数字(小) 14 10" xfId="13364"/>
    <cellStyle name="表体数字(小) 14 2" xfId="16619"/>
    <cellStyle name="表体数字(小) 14 2 2" xfId="12535"/>
    <cellStyle name="表体数字(小) 14 2 3" xfId="12537"/>
    <cellStyle name="表体数字(小) 14 2 4" xfId="12539"/>
    <cellStyle name="表体数字(小) 14 2 5" xfId="12541"/>
    <cellStyle name="表体数字(小) 14 2 6" xfId="12543"/>
    <cellStyle name="表体数字(小) 14 2 7" xfId="16620"/>
    <cellStyle name="表体数字(小) 14 2 8" xfId="16621"/>
    <cellStyle name="表体数字(小) 14 3" xfId="16622"/>
    <cellStyle name="表体数字(小) 14 3 2" xfId="16623"/>
    <cellStyle name="表体数字(小) 14 3 3" xfId="16625"/>
    <cellStyle name="表体数字(小) 14 3 4" xfId="16627"/>
    <cellStyle name="表体数字(小) 14 3 5" xfId="16628"/>
    <cellStyle name="表体数字(小) 14 3 6" xfId="16629"/>
    <cellStyle name="表体数字(小) 14 3 7" xfId="16630"/>
    <cellStyle name="表体数字(小) 14 3 8" xfId="16631"/>
    <cellStyle name="表体数字(小) 14 4" xfId="16632"/>
    <cellStyle name="表体数字(小) 14 5" xfId="16633"/>
    <cellStyle name="表体数字(小) 14 6" xfId="16634"/>
    <cellStyle name="表体数字(小) 14 7" xfId="16635"/>
    <cellStyle name="表体数字(小) 14 8" xfId="16636"/>
    <cellStyle name="表体数字(小) 14 9" xfId="16637"/>
    <cellStyle name="表体数字(小) 15" xfId="16638"/>
    <cellStyle name="表体数字(小) 15 10" xfId="16640"/>
    <cellStyle name="表体数字(小) 15 2" xfId="16644"/>
    <cellStyle name="表体数字(小) 15 2 2" xfId="16646"/>
    <cellStyle name="表体数字(小) 15 2 3" xfId="16648"/>
    <cellStyle name="表体数字(小) 15 2 4" xfId="16650"/>
    <cellStyle name="表体数字(小) 15 2 5" xfId="16652"/>
    <cellStyle name="表体数字(小) 15 2 6" xfId="16654"/>
    <cellStyle name="表体数字(小) 15 2 7" xfId="16656"/>
    <cellStyle name="表体数字(小) 15 2 8" xfId="16658"/>
    <cellStyle name="表体数字(小) 15 3" xfId="16660"/>
    <cellStyle name="表体数字(小) 15 3 2" xfId="16662"/>
    <cellStyle name="表体数字(小) 15 3 3" xfId="16664"/>
    <cellStyle name="表体数字(小) 15 3 4" xfId="16666"/>
    <cellStyle name="表体数字(小) 15 3 5" xfId="16668"/>
    <cellStyle name="表体数字(小) 15 3 6" xfId="16670"/>
    <cellStyle name="表体数字(小) 15 3 7" xfId="16672"/>
    <cellStyle name="表体数字(小) 15 3 8" xfId="16674"/>
    <cellStyle name="表体数字(小) 15 4" xfId="16676"/>
    <cellStyle name="表体数字(小) 15 5" xfId="16678"/>
    <cellStyle name="表体数字(小) 15 6" xfId="16682"/>
    <cellStyle name="表体数字(小) 15 7" xfId="16686"/>
    <cellStyle name="表体数字(小) 15 8" xfId="16690"/>
    <cellStyle name="表体数字(小) 15 9" xfId="13414"/>
    <cellStyle name="表体数字(小) 16" xfId="16694"/>
    <cellStyle name="表体数字(小) 16 10" xfId="16696"/>
    <cellStyle name="表体数字(小) 16 2" xfId="16698"/>
    <cellStyle name="表体数字(小) 16 2 2" xfId="16700"/>
    <cellStyle name="表体数字(小) 16 2 3" xfId="16702"/>
    <cellStyle name="表体数字(小) 16 2 4" xfId="16704"/>
    <cellStyle name="表体数字(小) 16 2 5" xfId="16706"/>
    <cellStyle name="表体数字(小) 16 2 6" xfId="16708"/>
    <cellStyle name="表体数字(小) 16 2 7" xfId="16710"/>
    <cellStyle name="表体数字(小) 16 2 8" xfId="16712"/>
    <cellStyle name="表体数字(小) 16 3" xfId="16714"/>
    <cellStyle name="表体数字(小) 16 3 2" xfId="16716"/>
    <cellStyle name="表体数字(小) 16 3 3" xfId="16718"/>
    <cellStyle name="表体数字(小) 16 3 4" xfId="16720"/>
    <cellStyle name="表体数字(小) 16 3 5" xfId="16722"/>
    <cellStyle name="表体数字(小) 16 3 6" xfId="16724"/>
    <cellStyle name="表体数字(小) 16 3 7" xfId="16726"/>
    <cellStyle name="表体数字(小) 16 3 8" xfId="16728"/>
    <cellStyle name="表体数字(小) 16 4" xfId="16730"/>
    <cellStyle name="表体数字(小) 16 5" xfId="16732"/>
    <cellStyle name="表体数字(小) 16 6" xfId="16736"/>
    <cellStyle name="表体数字(小) 16 7" xfId="16740"/>
    <cellStyle name="表体数字(小) 16 8" xfId="16744"/>
    <cellStyle name="表体数字(小) 16 9" xfId="10856"/>
    <cellStyle name="表体数字(小) 17" xfId="16748"/>
    <cellStyle name="表体数字(小) 17 10" xfId="16750"/>
    <cellStyle name="表体数字(小) 17 2" xfId="16752"/>
    <cellStyle name="表体数字(小) 17 2 2" xfId="10431"/>
    <cellStyle name="表体数字(小) 17 2 3" xfId="10455"/>
    <cellStyle name="表体数字(小) 17 2 4" xfId="10458"/>
    <cellStyle name="表体数字(小) 17 2 5" xfId="10461"/>
    <cellStyle name="表体数字(小) 17 2 6" xfId="10464"/>
    <cellStyle name="表体数字(小) 17 2 7" xfId="10467"/>
    <cellStyle name="表体数字(小) 17 2 8" xfId="10470"/>
    <cellStyle name="表体数字(小) 17 3" xfId="16754"/>
    <cellStyle name="表体数字(小) 17 3 2" xfId="256"/>
    <cellStyle name="表体数字(小) 17 3 3" xfId="16756"/>
    <cellStyle name="表体数字(小) 17 3 4" xfId="16758"/>
    <cellStyle name="表体数字(小) 17 3 5" xfId="16760"/>
    <cellStyle name="表体数字(小) 17 3 6" xfId="16762"/>
    <cellStyle name="表体数字(小) 17 3 7" xfId="16764"/>
    <cellStyle name="表体数字(小) 17 3 8" xfId="16766"/>
    <cellStyle name="表体数字(小) 17 4" xfId="16768"/>
    <cellStyle name="表体数字(小) 17 5" xfId="16771"/>
    <cellStyle name="表体数字(小) 17 6" xfId="16774"/>
    <cellStyle name="表体数字(小) 17 7" xfId="16777"/>
    <cellStyle name="表体数字(小) 17 8" xfId="16780"/>
    <cellStyle name="表体数字(小) 17 9" xfId="10881"/>
    <cellStyle name="表体数字(小) 18" xfId="16783"/>
    <cellStyle name="表体数字(小) 18 10" xfId="16785"/>
    <cellStyle name="表体数字(小) 18 2" xfId="16787"/>
    <cellStyle name="表体数字(小) 18 2 2" xfId="16789"/>
    <cellStyle name="表体数字(小) 18 2 3" xfId="16791"/>
    <cellStyle name="表体数字(小) 18 2 4" xfId="16793"/>
    <cellStyle name="表体数字(小) 18 2 5" xfId="16795"/>
    <cellStyle name="表体数字(小) 18 2 6" xfId="16797"/>
    <cellStyle name="表体数字(小) 18 2 7" xfId="16799"/>
    <cellStyle name="表体数字(小) 18 2 8" xfId="16801"/>
    <cellStyle name="表体数字(小) 18 3" xfId="16803"/>
    <cellStyle name="表体数字(小) 18 3 2" xfId="16805"/>
    <cellStyle name="表体数字(小) 18 3 3" xfId="9788"/>
    <cellStyle name="表体数字(小) 18 3 4" xfId="9791"/>
    <cellStyle name="表体数字(小) 18 3 5" xfId="16807"/>
    <cellStyle name="表体数字(小) 18 3 6" xfId="16809"/>
    <cellStyle name="表体数字(小) 18 3 7" xfId="16811"/>
    <cellStyle name="表体数字(小) 18 3 8" xfId="16813"/>
    <cellStyle name="表体数字(小) 18 4" xfId="16815"/>
    <cellStyle name="表体数字(小) 18 5" xfId="16818"/>
    <cellStyle name="表体数字(小) 18 6" xfId="16821"/>
    <cellStyle name="表体数字(小) 18 7" xfId="16824"/>
    <cellStyle name="表体数字(小) 18 8" xfId="16827"/>
    <cellStyle name="表体数字(小) 18 9" xfId="16830"/>
    <cellStyle name="表体数字(小) 19" xfId="16833"/>
    <cellStyle name="表体数字(小) 19 10" xfId="13382"/>
    <cellStyle name="表体数字(小) 19 2" xfId="9281"/>
    <cellStyle name="表体数字(小) 19 2 2" xfId="16835"/>
    <cellStyle name="表体数字(小) 19 2 3" xfId="16837"/>
    <cellStyle name="表体数字(小) 19 2 4" xfId="16839"/>
    <cellStyle name="表体数字(小) 19 2 5" xfId="16841"/>
    <cellStyle name="表体数字(小) 19 2 6" xfId="16843"/>
    <cellStyle name="表体数字(小) 19 2 7" xfId="16845"/>
    <cellStyle name="表体数字(小) 19 2 8" xfId="16847"/>
    <cellStyle name="表体数字(小) 19 3" xfId="9285"/>
    <cellStyle name="表体数字(小) 19 3 2" xfId="16849"/>
    <cellStyle name="表体数字(小) 19 3 3" xfId="16851"/>
    <cellStyle name="表体数字(小) 19 3 4" xfId="16853"/>
    <cellStyle name="表体数字(小) 19 3 5" xfId="16855"/>
    <cellStyle name="表体数字(小) 19 3 6" xfId="16857"/>
    <cellStyle name="表体数字(小) 19 3 7" xfId="16859"/>
    <cellStyle name="表体数字(小) 19 3 8" xfId="16861"/>
    <cellStyle name="表体数字(小) 19 4" xfId="9289"/>
    <cellStyle name="表体数字(小) 19 5" xfId="9293"/>
    <cellStyle name="表体数字(小) 19 6" xfId="9307"/>
    <cellStyle name="表体数字(小) 19 7" xfId="9310"/>
    <cellStyle name="表体数字(小) 19 8" xfId="9313"/>
    <cellStyle name="表体数字(小) 19 9" xfId="9316"/>
    <cellStyle name="表体数字(小) 2" xfId="16863"/>
    <cellStyle name="表体数字(小) 2 10" xfId="16864"/>
    <cellStyle name="表体数字(小) 2 10 10" xfId="16867"/>
    <cellStyle name="表体数字(小) 2 10 2" xfId="16868"/>
    <cellStyle name="表体数字(小) 2 10 2 2" xfId="10437"/>
    <cellStyle name="表体数字(小) 2 10 2 3" xfId="10441"/>
    <cellStyle name="表体数字(小) 2 10 2 4" xfId="10445"/>
    <cellStyle name="表体数字(小) 2 10 2 5" xfId="10449"/>
    <cellStyle name="表体数字(小) 2 10 2 6" xfId="10451"/>
    <cellStyle name="表体数字(小) 2 10 2 7" xfId="10453"/>
    <cellStyle name="表体数字(小) 2 10 2 8" xfId="16869"/>
    <cellStyle name="表体数字(小) 2 10 3" xfId="16870"/>
    <cellStyle name="表体数字(小) 2 10 3 2" xfId="16871"/>
    <cellStyle name="表体数字(小) 2 10 3 3" xfId="16874"/>
    <cellStyle name="表体数字(小) 2 10 3 4" xfId="16877"/>
    <cellStyle name="表体数字(小) 2 10 3 5" xfId="16880"/>
    <cellStyle name="表体数字(小) 2 10 3 6" xfId="16881"/>
    <cellStyle name="表体数字(小) 2 10 3 7" xfId="16882"/>
    <cellStyle name="表体数字(小) 2 10 3 8" xfId="16883"/>
    <cellStyle name="表体数字(小) 2 10 4" xfId="16884"/>
    <cellStyle name="表体数字(小) 2 10 5" xfId="16885"/>
    <cellStyle name="表体数字(小) 2 10 6" xfId="16886"/>
    <cellStyle name="表体数字(小) 2 10 7" xfId="16887"/>
    <cellStyle name="表体数字(小) 2 10 8" xfId="16888"/>
    <cellStyle name="表体数字(小) 2 10 9" xfId="16889"/>
    <cellStyle name="表体数字(小) 2 11" xfId="16890"/>
    <cellStyle name="表体数字(小) 2 11 10" xfId="16893"/>
    <cellStyle name="表体数字(小) 2 11 2" xfId="16894"/>
    <cellStyle name="表体数字(小) 2 11 2 2" xfId="524"/>
    <cellStyle name="表体数字(小) 2 11 2 3" xfId="681"/>
    <cellStyle name="表体数字(小) 2 11 2 4" xfId="688"/>
    <cellStyle name="表体数字(小) 2 11 2 5" xfId="690"/>
    <cellStyle name="表体数字(小) 2 11 2 6" xfId="265"/>
    <cellStyle name="表体数字(小) 2 11 2 7" xfId="251"/>
    <cellStyle name="表体数字(小) 2 11 2 8" xfId="703"/>
    <cellStyle name="表体数字(小) 2 11 3" xfId="16895"/>
    <cellStyle name="表体数字(小) 2 11 3 2" xfId="16896"/>
    <cellStyle name="表体数字(小) 2 11 3 3" xfId="16897"/>
    <cellStyle name="表体数字(小) 2 11 3 4" xfId="16898"/>
    <cellStyle name="表体数字(小) 2 11 3 5" xfId="16899"/>
    <cellStyle name="表体数字(小) 2 11 3 6" xfId="16900"/>
    <cellStyle name="表体数字(小) 2 11 3 7" xfId="16901"/>
    <cellStyle name="表体数字(小) 2 11 3 8" xfId="16902"/>
    <cellStyle name="表体数字(小) 2 11 4" xfId="16903"/>
    <cellStyle name="表体数字(小) 2 11 5" xfId="16904"/>
    <cellStyle name="表体数字(小) 2 11 6" xfId="16905"/>
    <cellStyle name="表体数字(小) 2 11 7" xfId="16906"/>
    <cellStyle name="表体数字(小) 2 11 8" xfId="16907"/>
    <cellStyle name="表体数字(小) 2 11 9" xfId="16908"/>
    <cellStyle name="表体数字(小) 2 12" xfId="16909"/>
    <cellStyle name="表体数字(小) 2 12 10" xfId="16913"/>
    <cellStyle name="表体数字(小) 2 12 2" xfId="16914"/>
    <cellStyle name="表体数字(小) 2 12 2 2" xfId="16915"/>
    <cellStyle name="表体数字(小) 2 12 2 3" xfId="16916"/>
    <cellStyle name="表体数字(小) 2 12 2 4" xfId="16917"/>
    <cellStyle name="表体数字(小) 2 12 2 5" xfId="16918"/>
    <cellStyle name="表体数字(小) 2 12 2 6" xfId="16919"/>
    <cellStyle name="表体数字(小) 2 12 2 7" xfId="16920"/>
    <cellStyle name="表体数字(小) 2 12 2 8" xfId="16921"/>
    <cellStyle name="表体数字(小) 2 12 3" xfId="16922"/>
    <cellStyle name="表体数字(小) 2 12 3 2" xfId="16923"/>
    <cellStyle name="表体数字(小) 2 12 3 3" xfId="16924"/>
    <cellStyle name="表体数字(小) 2 12 3 4" xfId="5345"/>
    <cellStyle name="表体数字(小) 2 12 3 5" xfId="8823"/>
    <cellStyle name="表体数字(小) 2 12 3 6" xfId="16925"/>
    <cellStyle name="表体数字(小) 2 12 3 7" xfId="16926"/>
    <cellStyle name="表体数字(小) 2 12 3 8" xfId="16927"/>
    <cellStyle name="表体数字(小) 2 12 4" xfId="16928"/>
    <cellStyle name="表体数字(小) 2 12 5" xfId="16929"/>
    <cellStyle name="表体数字(小) 2 12 6" xfId="16930"/>
    <cellStyle name="表体数字(小) 2 12 7" xfId="15452"/>
    <cellStyle name="表体数字(小) 2 12 8" xfId="16931"/>
    <cellStyle name="表体数字(小) 2 12 9" xfId="16932"/>
    <cellStyle name="表体数字(小) 2 13" xfId="16933"/>
    <cellStyle name="表体数字(小) 2 13 10" xfId="16936"/>
    <cellStyle name="表体数字(小) 2 13 2" xfId="16937"/>
    <cellStyle name="表体数字(小) 2 13 2 2" xfId="16938"/>
    <cellStyle name="表体数字(小) 2 13 2 3" xfId="16939"/>
    <cellStyle name="表体数字(小) 2 13 2 4" xfId="16940"/>
    <cellStyle name="表体数字(小) 2 13 2 5" xfId="16941"/>
    <cellStyle name="表体数字(小) 2 13 2 6" xfId="6702"/>
    <cellStyle name="表体数字(小) 2 13 2 7" xfId="6704"/>
    <cellStyle name="表体数字(小) 2 13 2 8" xfId="16942"/>
    <cellStyle name="表体数字(小) 2 13 3" xfId="16943"/>
    <cellStyle name="表体数字(小) 2 13 3 2" xfId="16944"/>
    <cellStyle name="表体数字(小) 2 13 3 3" xfId="16945"/>
    <cellStyle name="表体数字(小) 2 13 3 4" xfId="16946"/>
    <cellStyle name="表体数字(小) 2 13 3 5" xfId="16947"/>
    <cellStyle name="表体数字(小) 2 13 3 6" xfId="16948"/>
    <cellStyle name="表体数字(小) 2 13 3 7" xfId="16949"/>
    <cellStyle name="表体数字(小) 2 13 3 8" xfId="16950"/>
    <cellStyle name="表体数字(小) 2 13 4" xfId="16951"/>
    <cellStyle name="表体数字(小) 2 13 5" xfId="16952"/>
    <cellStyle name="表体数字(小) 2 13 6" xfId="16953"/>
    <cellStyle name="表体数字(小) 2 13 7" xfId="16954"/>
    <cellStyle name="表体数字(小) 2 13 8" xfId="16955"/>
    <cellStyle name="表体数字(小) 2 13 9" xfId="16956"/>
    <cellStyle name="表体数字(小) 2 14" xfId="16957"/>
    <cellStyle name="表体数字(小) 2 14 10" xfId="16960"/>
    <cellStyle name="表体数字(小) 2 14 2" xfId="16961"/>
    <cellStyle name="表体数字(小) 2 14 2 2" xfId="5928"/>
    <cellStyle name="表体数字(小) 2 14 2 3" xfId="3183"/>
    <cellStyle name="表体数字(小) 2 14 2 4" xfId="3188"/>
    <cellStyle name="表体数字(小) 2 14 2 5" xfId="5933"/>
    <cellStyle name="表体数字(小) 2 14 2 6" xfId="5937"/>
    <cellStyle name="表体数字(小) 2 14 2 7" xfId="5941"/>
    <cellStyle name="表体数字(小) 2 14 2 8" xfId="16962"/>
    <cellStyle name="表体数字(小) 2 14 3" xfId="16963"/>
    <cellStyle name="表体数字(小) 2 14 3 2" xfId="11013"/>
    <cellStyle name="表体数字(小) 2 14 3 3" xfId="11016"/>
    <cellStyle name="表体数字(小) 2 14 3 4" xfId="11019"/>
    <cellStyle name="表体数字(小) 2 14 3 5" xfId="11022"/>
    <cellStyle name="表体数字(小) 2 14 3 6" xfId="11025"/>
    <cellStyle name="表体数字(小) 2 14 3 7" xfId="11028"/>
    <cellStyle name="表体数字(小) 2 14 3 8" xfId="16964"/>
    <cellStyle name="表体数字(小) 2 14 4" xfId="16966"/>
    <cellStyle name="表体数字(小) 2 14 5" xfId="16967"/>
    <cellStyle name="表体数字(小) 2 14 6" xfId="16968"/>
    <cellStyle name="表体数字(小) 2 14 7" xfId="12662"/>
    <cellStyle name="表体数字(小) 2 14 8" xfId="16969"/>
    <cellStyle name="表体数字(小) 2 14 9" xfId="16970"/>
    <cellStyle name="表体数字(小) 2 15" xfId="16971"/>
    <cellStyle name="表体数字(小) 2 15 10" xfId="16975"/>
    <cellStyle name="表体数字(小) 2 15 2" xfId="16977"/>
    <cellStyle name="表体数字(小) 2 15 2 2" xfId="9819"/>
    <cellStyle name="表体数字(小) 2 15 2 3" xfId="9823"/>
    <cellStyle name="表体数字(小) 2 15 2 4" xfId="5742"/>
    <cellStyle name="表体数字(小) 2 15 2 5" xfId="11062"/>
    <cellStyle name="表体数字(小) 2 15 2 6" xfId="11065"/>
    <cellStyle name="表体数字(小) 2 15 2 7" xfId="11068"/>
    <cellStyle name="表体数字(小) 2 15 2 8" xfId="16979"/>
    <cellStyle name="表体数字(小) 2 15 3" xfId="16981"/>
    <cellStyle name="表体数字(小) 2 15 3 2" xfId="16983"/>
    <cellStyle name="表体数字(小) 2 15 3 3" xfId="16985"/>
    <cellStyle name="表体数字(小) 2 15 3 4" xfId="16987"/>
    <cellStyle name="表体数字(小) 2 15 3 5" xfId="16989"/>
    <cellStyle name="表体数字(小) 2 15 3 6" xfId="16991"/>
    <cellStyle name="表体数字(小) 2 15 3 7" xfId="16993"/>
    <cellStyle name="表体数字(小) 2 15 3 8" xfId="16995"/>
    <cellStyle name="表体数字(小) 2 15 4" xfId="16997"/>
    <cellStyle name="表体数字(小) 2 15 5" xfId="16999"/>
    <cellStyle name="表体数字(小) 2 15 6" xfId="17001"/>
    <cellStyle name="表体数字(小) 2 15 7" xfId="17003"/>
    <cellStyle name="表体数字(小) 2 15 8" xfId="17005"/>
    <cellStyle name="表体数字(小) 2 15 9" xfId="17007"/>
    <cellStyle name="表体数字(小) 2 16" xfId="17009"/>
    <cellStyle name="表体数字(小) 2 16 10" xfId="17013"/>
    <cellStyle name="表体数字(小) 2 16 2" xfId="17015"/>
    <cellStyle name="表体数字(小) 2 16 2 2" xfId="17017"/>
    <cellStyle name="表体数字(小) 2 16 2 3" xfId="17019"/>
    <cellStyle name="表体数字(小) 2 16 2 4" xfId="5762"/>
    <cellStyle name="表体数字(小) 2 16 2 5" xfId="17021"/>
    <cellStyle name="表体数字(小) 2 16 2 6" xfId="17023"/>
    <cellStyle name="表体数字(小) 2 16 2 7" xfId="17025"/>
    <cellStyle name="表体数字(小) 2 16 2 8" xfId="17027"/>
    <cellStyle name="表体数字(小) 2 16 3" xfId="17029"/>
    <cellStyle name="表体数字(小) 2 16 3 2" xfId="17031"/>
    <cellStyle name="表体数字(小) 2 16 3 3" xfId="17033"/>
    <cellStyle name="表体数字(小) 2 16 3 4" xfId="17035"/>
    <cellStyle name="表体数字(小) 2 16 3 5" xfId="17037"/>
    <cellStyle name="表体数字(小) 2 16 3 6" xfId="17039"/>
    <cellStyle name="表体数字(小) 2 16 3 7" xfId="17041"/>
    <cellStyle name="表体数字(小) 2 16 3 8" xfId="17043"/>
    <cellStyle name="表体数字(小) 2 16 4" xfId="17045"/>
    <cellStyle name="表体数字(小) 2 16 5" xfId="17047"/>
    <cellStyle name="表体数字(小) 2 16 6" xfId="17049"/>
    <cellStyle name="表体数字(小) 2 16 7" xfId="17051"/>
    <cellStyle name="表体数字(小) 2 16 8" xfId="17053"/>
    <cellStyle name="表体数字(小) 2 16 9" xfId="17055"/>
    <cellStyle name="表体数字(小) 2 17" xfId="17057"/>
    <cellStyle name="表体数字(小) 2 17 10" xfId="17059"/>
    <cellStyle name="表体数字(小) 2 17 2" xfId="17061"/>
    <cellStyle name="表体数字(小) 2 17 2 2" xfId="17063"/>
    <cellStyle name="表体数字(小) 2 17 2 3" xfId="17065"/>
    <cellStyle name="表体数字(小) 2 17 2 4" xfId="5425"/>
    <cellStyle name="表体数字(小) 2 17 2 5" xfId="17067"/>
    <cellStyle name="表体数字(小) 2 17 2 6" xfId="17069"/>
    <cellStyle name="表体数字(小) 2 17 2 7" xfId="17071"/>
    <cellStyle name="表体数字(小) 2 17 2 8" xfId="17073"/>
    <cellStyle name="表体数字(小) 2 17 3" xfId="17075"/>
    <cellStyle name="表体数字(小) 2 17 3 2" xfId="17077"/>
    <cellStyle name="表体数字(小) 2 17 3 3" xfId="17079"/>
    <cellStyle name="表体数字(小) 2 17 3 4" xfId="17081"/>
    <cellStyle name="表体数字(小) 2 17 3 5" xfId="17083"/>
    <cellStyle name="表体数字(小) 2 17 3 6" xfId="17085"/>
    <cellStyle name="表体数字(小) 2 17 3 7" xfId="17087"/>
    <cellStyle name="表体数字(小) 2 17 3 8" xfId="17089"/>
    <cellStyle name="表体数字(小) 2 17 4" xfId="17091"/>
    <cellStyle name="表体数字(小) 2 17 5" xfId="17093"/>
    <cellStyle name="表体数字(小) 2 17 6" xfId="17095"/>
    <cellStyle name="表体数字(小) 2 17 7" xfId="15513"/>
    <cellStyle name="表体数字(小) 2 17 8" xfId="17097"/>
    <cellStyle name="表体数字(小) 2 17 9" xfId="17099"/>
    <cellStyle name="表体数字(小) 2 18" xfId="17101"/>
    <cellStyle name="表体数字(小) 2 18 10" xfId="17103"/>
    <cellStyle name="表体数字(小) 2 18 2" xfId="17105"/>
    <cellStyle name="表体数字(小) 2 18 2 2" xfId="17107"/>
    <cellStyle name="表体数字(小) 2 18 2 3" xfId="17109"/>
    <cellStyle name="表体数字(小) 2 18 2 4" xfId="3627"/>
    <cellStyle name="表体数字(小) 2 18 2 5" xfId="17111"/>
    <cellStyle name="表体数字(小) 2 18 2 6" xfId="6734"/>
    <cellStyle name="表体数字(小) 2 18 2 7" xfId="6165"/>
    <cellStyle name="表体数字(小) 2 18 2 8" xfId="17113"/>
    <cellStyle name="表体数字(小) 2 18 3" xfId="17115"/>
    <cellStyle name="表体数字(小) 2 18 3 2" xfId="17117"/>
    <cellStyle name="表体数字(小) 2 18 3 3" xfId="17119"/>
    <cellStyle name="表体数字(小) 2 18 3 4" xfId="17121"/>
    <cellStyle name="表体数字(小) 2 18 3 5" xfId="17123"/>
    <cellStyle name="表体数字(小) 2 18 3 6" xfId="17125"/>
    <cellStyle name="表体数字(小) 2 18 3 7" xfId="17127"/>
    <cellStyle name="表体数字(小) 2 18 3 8" xfId="17129"/>
    <cellStyle name="表体数字(小) 2 18 4" xfId="17131"/>
    <cellStyle name="表体数字(小) 2 18 5" xfId="17133"/>
    <cellStyle name="表体数字(小) 2 18 6" xfId="17135"/>
    <cellStyle name="表体数字(小) 2 18 7" xfId="17137"/>
    <cellStyle name="表体数字(小) 2 18 8" xfId="17139"/>
    <cellStyle name="表体数字(小) 2 18 9" xfId="17141"/>
    <cellStyle name="表体数字(小) 2 19" xfId="17143"/>
    <cellStyle name="表体数字(小) 2 19 10" xfId="17145"/>
    <cellStyle name="表体数字(小) 2 19 2" xfId="9903"/>
    <cellStyle name="表体数字(小) 2 19 2 2" xfId="17147"/>
    <cellStyle name="表体数字(小) 2 19 2 3" xfId="17150"/>
    <cellStyle name="表体数字(小) 2 19 2 4" xfId="5805"/>
    <cellStyle name="表体数字(小) 2 19 2 5" xfId="17153"/>
    <cellStyle name="表体数字(小) 2 19 2 6" xfId="17156"/>
    <cellStyle name="表体数字(小) 2 19 2 7" xfId="17159"/>
    <cellStyle name="表体数字(小) 2 19 2 8" xfId="17161"/>
    <cellStyle name="表体数字(小) 2 19 3" xfId="9906"/>
    <cellStyle name="表体数字(小) 2 19 3 2" xfId="17163"/>
    <cellStyle name="表体数字(小) 2 19 3 3" xfId="17166"/>
    <cellStyle name="表体数字(小) 2 19 3 4" xfId="17169"/>
    <cellStyle name="表体数字(小) 2 19 3 5" xfId="17172"/>
    <cellStyle name="表体数字(小) 2 19 3 6" xfId="17175"/>
    <cellStyle name="表体数字(小) 2 19 3 7" xfId="17178"/>
    <cellStyle name="表体数字(小) 2 19 3 8" xfId="17180"/>
    <cellStyle name="表体数字(小) 2 19 4" xfId="9909"/>
    <cellStyle name="表体数字(小) 2 19 5" xfId="9912"/>
    <cellStyle name="表体数字(小) 2 19 6" xfId="9915"/>
    <cellStyle name="表体数字(小) 2 19 7" xfId="9919"/>
    <cellStyle name="表体数字(小) 2 19 8" xfId="17182"/>
    <cellStyle name="表体数字(小) 2 19 9" xfId="17184"/>
    <cellStyle name="表体数字(小) 2 2" xfId="17186"/>
    <cellStyle name="表体数字(小) 2 2 10" xfId="17187"/>
    <cellStyle name="表体数字(小) 2 2 2" xfId="17189"/>
    <cellStyle name="表体数字(小) 2 2 2 2" xfId="2653"/>
    <cellStyle name="表体数字(小) 2 2 2 3" xfId="16007"/>
    <cellStyle name="表体数字(小) 2 2 2 4" xfId="17190"/>
    <cellStyle name="表体数字(小) 2 2 2 5" xfId="17191"/>
    <cellStyle name="表体数字(小) 2 2 2 6" xfId="17192"/>
    <cellStyle name="表体数字(小) 2 2 2 7" xfId="17193"/>
    <cellStyle name="表体数字(小) 2 2 2 8" xfId="17194"/>
    <cellStyle name="表体数字(小) 2 2 3" xfId="17195"/>
    <cellStyle name="表体数字(小) 2 2 3 2" xfId="16050"/>
    <cellStyle name="表体数字(小) 2 2 3 3" xfId="16053"/>
    <cellStyle name="表体数字(小) 2 2 3 4" xfId="17196"/>
    <cellStyle name="表体数字(小) 2 2 3 5" xfId="17197"/>
    <cellStyle name="表体数字(小) 2 2 3 6" xfId="17198"/>
    <cellStyle name="表体数字(小) 2 2 3 7" xfId="17199"/>
    <cellStyle name="表体数字(小) 2 2 3 8" xfId="17200"/>
    <cellStyle name="表体数字(小) 2 2 4" xfId="17201"/>
    <cellStyle name="表体数字(小) 2 2 5" xfId="17202"/>
    <cellStyle name="表体数字(小) 2 2 6" xfId="17203"/>
    <cellStyle name="表体数字(小) 2 2 7" xfId="17205"/>
    <cellStyle name="表体数字(小) 2 2 8" xfId="17207"/>
    <cellStyle name="表体数字(小) 2 2 9" xfId="17209"/>
    <cellStyle name="表体数字(小) 2 20" xfId="16972"/>
    <cellStyle name="表体数字(小) 2 20 10" xfId="16976"/>
    <cellStyle name="表体数字(小) 2 20 2" xfId="16978"/>
    <cellStyle name="表体数字(小) 2 20 2 2" xfId="9820"/>
    <cellStyle name="表体数字(小) 2 20 2 3" xfId="9824"/>
    <cellStyle name="表体数字(小) 2 20 2 4" xfId="5743"/>
    <cellStyle name="表体数字(小) 2 20 2 5" xfId="11063"/>
    <cellStyle name="表体数字(小) 2 20 2 6" xfId="11066"/>
    <cellStyle name="表体数字(小) 2 20 2 7" xfId="11069"/>
    <cellStyle name="表体数字(小) 2 20 2 8" xfId="16980"/>
    <cellStyle name="表体数字(小) 2 20 3" xfId="16982"/>
    <cellStyle name="表体数字(小) 2 20 3 2" xfId="16984"/>
    <cellStyle name="表体数字(小) 2 20 3 3" xfId="16986"/>
    <cellStyle name="表体数字(小) 2 20 3 4" xfId="16988"/>
    <cellStyle name="表体数字(小) 2 20 3 5" xfId="16990"/>
    <cellStyle name="表体数字(小) 2 20 3 6" xfId="16992"/>
    <cellStyle name="表体数字(小) 2 20 3 7" xfId="16994"/>
    <cellStyle name="表体数字(小) 2 20 3 8" xfId="16996"/>
    <cellStyle name="表体数字(小) 2 20 4" xfId="16998"/>
    <cellStyle name="表体数字(小) 2 20 5" xfId="17000"/>
    <cellStyle name="表体数字(小) 2 20 6" xfId="17002"/>
    <cellStyle name="表体数字(小) 2 20 7" xfId="17004"/>
    <cellStyle name="表体数字(小) 2 20 8" xfId="17006"/>
    <cellStyle name="表体数字(小) 2 20 9" xfId="17008"/>
    <cellStyle name="表体数字(小) 2 21" xfId="17010"/>
    <cellStyle name="表体数字(小) 2 21 10" xfId="17014"/>
    <cellStyle name="表体数字(小) 2 21 2" xfId="17016"/>
    <cellStyle name="表体数字(小) 2 21 2 2" xfId="17018"/>
    <cellStyle name="表体数字(小) 2 21 2 3" xfId="17020"/>
    <cellStyle name="表体数字(小) 2 21 2 4" xfId="5763"/>
    <cellStyle name="表体数字(小) 2 21 2 5" xfId="17022"/>
    <cellStyle name="表体数字(小) 2 21 2 6" xfId="17024"/>
    <cellStyle name="表体数字(小) 2 21 2 7" xfId="17026"/>
    <cellStyle name="表体数字(小) 2 21 2 8" xfId="17028"/>
    <cellStyle name="表体数字(小) 2 21 3" xfId="17030"/>
    <cellStyle name="表体数字(小) 2 21 3 2" xfId="17032"/>
    <cellStyle name="表体数字(小) 2 21 3 3" xfId="17034"/>
    <cellStyle name="表体数字(小) 2 21 3 4" xfId="17036"/>
    <cellStyle name="表体数字(小) 2 21 3 5" xfId="17038"/>
    <cellStyle name="表体数字(小) 2 21 3 6" xfId="17040"/>
    <cellStyle name="表体数字(小) 2 21 3 7" xfId="17042"/>
    <cellStyle name="表体数字(小) 2 21 3 8" xfId="17044"/>
    <cellStyle name="表体数字(小) 2 21 4" xfId="17046"/>
    <cellStyle name="表体数字(小) 2 21 5" xfId="17048"/>
    <cellStyle name="表体数字(小) 2 21 6" xfId="17050"/>
    <cellStyle name="表体数字(小) 2 21 7" xfId="17052"/>
    <cellStyle name="表体数字(小) 2 21 8" xfId="17054"/>
    <cellStyle name="表体数字(小) 2 21 9" xfId="17056"/>
    <cellStyle name="表体数字(小) 2 22" xfId="17058"/>
    <cellStyle name="表体数字(小) 2 22 10" xfId="17060"/>
    <cellStyle name="表体数字(小) 2 22 2" xfId="17062"/>
    <cellStyle name="表体数字(小) 2 22 2 2" xfId="17064"/>
    <cellStyle name="表体数字(小) 2 22 2 3" xfId="17066"/>
    <cellStyle name="表体数字(小) 2 22 2 4" xfId="5426"/>
    <cellStyle name="表体数字(小) 2 22 2 5" xfId="17068"/>
    <cellStyle name="表体数字(小) 2 22 2 6" xfId="17070"/>
    <cellStyle name="表体数字(小) 2 22 2 7" xfId="17072"/>
    <cellStyle name="表体数字(小) 2 22 2 8" xfId="17074"/>
    <cellStyle name="表体数字(小) 2 22 3" xfId="17076"/>
    <cellStyle name="表体数字(小) 2 22 3 2" xfId="17078"/>
    <cellStyle name="表体数字(小) 2 22 3 3" xfId="17080"/>
    <cellStyle name="表体数字(小) 2 22 3 4" xfId="17082"/>
    <cellStyle name="表体数字(小) 2 22 3 5" xfId="17084"/>
    <cellStyle name="表体数字(小) 2 22 3 6" xfId="17086"/>
    <cellStyle name="表体数字(小) 2 22 3 7" xfId="17088"/>
    <cellStyle name="表体数字(小) 2 22 3 8" xfId="17090"/>
    <cellStyle name="表体数字(小) 2 22 4" xfId="17092"/>
    <cellStyle name="表体数字(小) 2 22 5" xfId="17094"/>
    <cellStyle name="表体数字(小) 2 22 6" xfId="17096"/>
    <cellStyle name="表体数字(小) 2 22 7" xfId="15514"/>
    <cellStyle name="表体数字(小) 2 22 8" xfId="17098"/>
    <cellStyle name="表体数字(小) 2 22 9" xfId="17100"/>
    <cellStyle name="表体数字(小) 2 23" xfId="17102"/>
    <cellStyle name="表体数字(小) 2 23 10" xfId="17104"/>
    <cellStyle name="表体数字(小) 2 23 2" xfId="17106"/>
    <cellStyle name="表体数字(小) 2 23 2 2" xfId="17108"/>
    <cellStyle name="表体数字(小) 2 23 2 3" xfId="17110"/>
    <cellStyle name="表体数字(小) 2 23 2 4" xfId="3626"/>
    <cellStyle name="表体数字(小) 2 23 2 5" xfId="17112"/>
    <cellStyle name="表体数字(小) 2 23 2 6" xfId="6735"/>
    <cellStyle name="表体数字(小) 2 23 2 7" xfId="6166"/>
    <cellStyle name="表体数字(小) 2 23 2 8" xfId="17114"/>
    <cellStyle name="表体数字(小) 2 23 3" xfId="17116"/>
    <cellStyle name="表体数字(小) 2 23 3 2" xfId="17118"/>
    <cellStyle name="表体数字(小) 2 23 3 3" xfId="17120"/>
    <cellStyle name="表体数字(小) 2 23 3 4" xfId="17122"/>
    <cellStyle name="表体数字(小) 2 23 3 5" xfId="17124"/>
    <cellStyle name="表体数字(小) 2 23 3 6" xfId="17126"/>
    <cellStyle name="表体数字(小) 2 23 3 7" xfId="17128"/>
    <cellStyle name="表体数字(小) 2 23 3 8" xfId="17130"/>
    <cellStyle name="表体数字(小) 2 23 4" xfId="17132"/>
    <cellStyle name="表体数字(小) 2 23 5" xfId="17134"/>
    <cellStyle name="表体数字(小) 2 23 6" xfId="17136"/>
    <cellStyle name="表体数字(小) 2 23 7" xfId="17138"/>
    <cellStyle name="表体数字(小) 2 23 8" xfId="17140"/>
    <cellStyle name="表体数字(小) 2 23 9" xfId="17142"/>
    <cellStyle name="表体数字(小) 2 24" xfId="17144"/>
    <cellStyle name="表体数字(小) 2 24 10" xfId="17146"/>
    <cellStyle name="表体数字(小) 2 24 2" xfId="9904"/>
    <cellStyle name="表体数字(小) 2 24 2 2" xfId="17148"/>
    <cellStyle name="表体数字(小) 2 24 2 3" xfId="17151"/>
    <cellStyle name="表体数字(小) 2 24 2 4" xfId="5806"/>
    <cellStyle name="表体数字(小) 2 24 2 5" xfId="17154"/>
    <cellStyle name="表体数字(小) 2 24 2 6" xfId="17157"/>
    <cellStyle name="表体数字(小) 2 24 2 7" xfId="17160"/>
    <cellStyle name="表体数字(小) 2 24 2 8" xfId="17162"/>
    <cellStyle name="表体数字(小) 2 24 3" xfId="9907"/>
    <cellStyle name="表体数字(小) 2 24 3 2" xfId="17164"/>
    <cellStyle name="表体数字(小) 2 24 3 3" xfId="17167"/>
    <cellStyle name="表体数字(小) 2 24 3 4" xfId="17170"/>
    <cellStyle name="表体数字(小) 2 24 3 5" xfId="17173"/>
    <cellStyle name="表体数字(小) 2 24 3 6" xfId="17176"/>
    <cellStyle name="表体数字(小) 2 24 3 7" xfId="17179"/>
    <cellStyle name="表体数字(小) 2 24 3 8" xfId="17181"/>
    <cellStyle name="表体数字(小) 2 24 4" xfId="9910"/>
    <cellStyle name="表体数字(小) 2 24 5" xfId="9913"/>
    <cellStyle name="表体数字(小) 2 24 6" xfId="9916"/>
    <cellStyle name="表体数字(小) 2 24 7" xfId="9920"/>
    <cellStyle name="表体数字(小) 2 24 8" xfId="17183"/>
    <cellStyle name="表体数字(小) 2 24 9" xfId="17185"/>
    <cellStyle name="表体数字(小) 2 25" xfId="17211"/>
    <cellStyle name="表体数字(小) 2 25 10" xfId="17213"/>
    <cellStyle name="表体数字(小) 2 25 2" xfId="17215"/>
    <cellStyle name="表体数字(小) 2 25 2 2" xfId="17217"/>
    <cellStyle name="表体数字(小) 2 25 2 3" xfId="17219"/>
    <cellStyle name="表体数字(小) 2 25 2 4" xfId="5840"/>
    <cellStyle name="表体数字(小) 2 25 2 5" xfId="17221"/>
    <cellStyle name="表体数字(小) 2 25 2 6" xfId="17223"/>
    <cellStyle name="表体数字(小) 2 25 2 7" xfId="17225"/>
    <cellStyle name="表体数字(小) 2 25 2 8" xfId="17227"/>
    <cellStyle name="表体数字(小) 2 25 3" xfId="17229"/>
    <cellStyle name="表体数字(小) 2 25 3 2" xfId="17231"/>
    <cellStyle name="表体数字(小) 2 25 3 3" xfId="17233"/>
    <cellStyle name="表体数字(小) 2 25 3 4" xfId="17235"/>
    <cellStyle name="表体数字(小) 2 25 3 5" xfId="17237"/>
    <cellStyle name="表体数字(小) 2 25 3 6" xfId="17239"/>
    <cellStyle name="表体数字(小) 2 25 3 7" xfId="17241"/>
    <cellStyle name="表体数字(小) 2 25 3 8" xfId="17243"/>
    <cellStyle name="表体数字(小) 2 25 4" xfId="17245"/>
    <cellStyle name="表体数字(小) 2 25 5" xfId="17247"/>
    <cellStyle name="表体数字(小) 2 25 6" xfId="17249"/>
    <cellStyle name="表体数字(小) 2 25 7" xfId="17251"/>
    <cellStyle name="表体数字(小) 2 25 8" xfId="17253"/>
    <cellStyle name="表体数字(小) 2 25 9" xfId="17255"/>
    <cellStyle name="表体数字(小) 2 26" xfId="17257"/>
    <cellStyle name="表体数字(小) 2 26 10" xfId="17259"/>
    <cellStyle name="表体数字(小) 2 26 2" xfId="17261"/>
    <cellStyle name="表体数字(小) 2 26 2 2" xfId="17263"/>
    <cellStyle name="表体数字(小) 2 26 2 3" xfId="17265"/>
    <cellStyle name="表体数字(小) 2 26 2 4" xfId="17267"/>
    <cellStyle name="表体数字(小) 2 26 2 5" xfId="6938"/>
    <cellStyle name="表体数字(小) 2 26 2 6" xfId="5946"/>
    <cellStyle name="表体数字(小) 2 26 2 7" xfId="107"/>
    <cellStyle name="表体数字(小) 2 26 2 8" xfId="4649"/>
    <cellStyle name="表体数字(小) 2 26 3" xfId="17272"/>
    <cellStyle name="表体数字(小) 2 26 3 2" xfId="17274"/>
    <cellStyle name="表体数字(小) 2 26 3 3" xfId="17278"/>
    <cellStyle name="表体数字(小) 2 26 3 4" xfId="17282"/>
    <cellStyle name="表体数字(小) 2 26 3 5" xfId="17287"/>
    <cellStyle name="表体数字(小) 2 26 3 6" xfId="17292"/>
    <cellStyle name="表体数字(小) 2 26 3 7" xfId="17297"/>
    <cellStyle name="表体数字(小) 2 26 3 8" xfId="17302"/>
    <cellStyle name="表体数字(小) 2 26 4" xfId="17307"/>
    <cellStyle name="表体数字(小) 2 26 5" xfId="17309"/>
    <cellStyle name="表体数字(小) 2 26 6" xfId="17311"/>
    <cellStyle name="表体数字(小) 2 26 7" xfId="17313"/>
    <cellStyle name="表体数字(小) 2 26 8" xfId="17315"/>
    <cellStyle name="表体数字(小) 2 26 9" xfId="17317"/>
    <cellStyle name="表体数字(小) 2 27" xfId="13128"/>
    <cellStyle name="表体数字(小) 2 27 10" xfId="17319"/>
    <cellStyle name="表体数字(小) 2 27 2" xfId="17321"/>
    <cellStyle name="表体数字(小) 2 27 2 2" xfId="1301"/>
    <cellStyle name="表体数字(小) 2 27 2 3" xfId="2484"/>
    <cellStyle name="表体数字(小) 2 27 2 4" xfId="2531"/>
    <cellStyle name="表体数字(小) 2 27 2 5" xfId="2580"/>
    <cellStyle name="表体数字(小) 2 27 2 6" xfId="17323"/>
    <cellStyle name="表体数字(小) 2 27 2 7" xfId="17325"/>
    <cellStyle name="表体数字(小) 2 27 2 8" xfId="11844"/>
    <cellStyle name="表体数字(小) 2 27 3" xfId="17327"/>
    <cellStyle name="表体数字(小) 2 27 3 2" xfId="17"/>
    <cellStyle name="表体数字(小) 2 27 3 3" xfId="2682"/>
    <cellStyle name="表体数字(小) 2 27 3 4" xfId="2688"/>
    <cellStyle name="表体数字(小) 2 27 3 5" xfId="2698"/>
    <cellStyle name="表体数字(小) 2 27 3 6" xfId="17329"/>
    <cellStyle name="表体数字(小) 2 27 3 7" xfId="17331"/>
    <cellStyle name="表体数字(小) 2 27 3 8" xfId="17333"/>
    <cellStyle name="表体数字(小) 2 27 4" xfId="17335"/>
    <cellStyle name="表体数字(小) 2 27 5" xfId="17339"/>
    <cellStyle name="表体数字(小) 2 27 6" xfId="8129"/>
    <cellStyle name="表体数字(小) 2 27 7" xfId="8134"/>
    <cellStyle name="表体数字(小) 2 27 8" xfId="8141"/>
    <cellStyle name="表体数字(小) 2 27 9" xfId="8146"/>
    <cellStyle name="表体数字(小) 2 28" xfId="13132"/>
    <cellStyle name="表体数字(小) 2 28 10" xfId="3125"/>
    <cellStyle name="表体数字(小) 2 28 2" xfId="17343"/>
    <cellStyle name="表体数字(小) 2 28 2 2" xfId="17345"/>
    <cellStyle name="表体数字(小) 2 28 2 3" xfId="17347"/>
    <cellStyle name="表体数字(小) 2 28 2 4" xfId="17349"/>
    <cellStyle name="表体数字(小) 2 28 2 5" xfId="17351"/>
    <cellStyle name="表体数字(小) 2 28 2 6" xfId="17353"/>
    <cellStyle name="表体数字(小) 2 28 2 7" xfId="17355"/>
    <cellStyle name="表体数字(小) 2 28 2 8" xfId="17357"/>
    <cellStyle name="表体数字(小) 2 28 3" xfId="17359"/>
    <cellStyle name="表体数字(小) 2 28 3 2" xfId="17361"/>
    <cellStyle name="表体数字(小) 2 28 3 3" xfId="17363"/>
    <cellStyle name="表体数字(小) 2 28 3 4" xfId="17365"/>
    <cellStyle name="表体数字(小) 2 28 3 5" xfId="17367"/>
    <cellStyle name="表体数字(小) 2 28 3 6" xfId="17369"/>
    <cellStyle name="表体数字(小) 2 28 3 7" xfId="17371"/>
    <cellStyle name="表体数字(小) 2 28 3 8" xfId="17373"/>
    <cellStyle name="表体数字(小) 2 28 4" xfId="17375"/>
    <cellStyle name="表体数字(小) 2 28 5" xfId="17379"/>
    <cellStyle name="表体数字(小) 2 28 6" xfId="8193"/>
    <cellStyle name="表体数字(小) 2 28 7" xfId="8198"/>
    <cellStyle name="表体数字(小) 2 28 8" xfId="8203"/>
    <cellStyle name="表体数字(小) 2 28 9" xfId="8208"/>
    <cellStyle name="表体数字(小) 2 29" xfId="13136"/>
    <cellStyle name="表体数字(小) 2 29 10" xfId="17383"/>
    <cellStyle name="表体数字(小) 2 29 2" xfId="12819"/>
    <cellStyle name="表体数字(小) 2 29 2 2" xfId="17385"/>
    <cellStyle name="表体数字(小) 2 29 2 3" xfId="17387"/>
    <cellStyle name="表体数字(小) 2 29 2 4" xfId="17389"/>
    <cellStyle name="表体数字(小) 2 29 2 5" xfId="17391"/>
    <cellStyle name="表体数字(小) 2 29 2 6" xfId="17393"/>
    <cellStyle name="表体数字(小) 2 29 2 7" xfId="17395"/>
    <cellStyle name="表体数字(小) 2 29 2 8" xfId="17397"/>
    <cellStyle name="表体数字(小) 2 29 3" xfId="12823"/>
    <cellStyle name="表体数字(小) 2 29 3 2" xfId="17399"/>
    <cellStyle name="表体数字(小) 2 29 3 3" xfId="17401"/>
    <cellStyle name="表体数字(小) 2 29 3 4" xfId="17403"/>
    <cellStyle name="表体数字(小) 2 29 3 5" xfId="17405"/>
    <cellStyle name="表体数字(小) 2 29 3 6" xfId="17407"/>
    <cellStyle name="表体数字(小) 2 29 3 7" xfId="17409"/>
    <cellStyle name="表体数字(小) 2 29 3 8" xfId="17411"/>
    <cellStyle name="表体数字(小) 2 29 4" xfId="12827"/>
    <cellStyle name="表体数字(小) 2 29 5" xfId="12830"/>
    <cellStyle name="表体数字(小) 2 29 6" xfId="12833"/>
    <cellStyle name="表体数字(小) 2 29 7" xfId="12836"/>
    <cellStyle name="表体数字(小) 2 29 8" xfId="12839"/>
    <cellStyle name="表体数字(小) 2 29 9" xfId="17413"/>
    <cellStyle name="表体数字(小) 2 3" xfId="17415"/>
    <cellStyle name="表体数字(小) 2 3 10" xfId="17417"/>
    <cellStyle name="表体数字(小) 2 3 2" xfId="17419"/>
    <cellStyle name="表体数字(小) 2 3 2 2" xfId="17422"/>
    <cellStyle name="表体数字(小) 2 3 2 3" xfId="17425"/>
    <cellStyle name="表体数字(小) 2 3 2 4" xfId="17428"/>
    <cellStyle name="表体数字(小) 2 3 2 5" xfId="17431"/>
    <cellStyle name="表体数字(小) 2 3 2 6" xfId="17434"/>
    <cellStyle name="表体数字(小) 2 3 2 7" xfId="17437"/>
    <cellStyle name="表体数字(小) 2 3 2 8" xfId="17440"/>
    <cellStyle name="表体数字(小) 2 3 3" xfId="17443"/>
    <cellStyle name="表体数字(小) 2 3 3 2" xfId="17446"/>
    <cellStyle name="表体数字(小) 2 3 3 3" xfId="6741"/>
    <cellStyle name="表体数字(小) 2 3 3 4" xfId="6750"/>
    <cellStyle name="表体数字(小) 2 3 3 5" xfId="6758"/>
    <cellStyle name="表体数字(小) 2 3 3 6" xfId="6765"/>
    <cellStyle name="表体数字(小) 2 3 3 7" xfId="6775"/>
    <cellStyle name="表体数字(小) 2 3 3 8" xfId="6786"/>
    <cellStyle name="表体数字(小) 2 3 4" xfId="17449"/>
    <cellStyle name="表体数字(小) 2 3 5" xfId="17452"/>
    <cellStyle name="表体数字(小) 2 3 6" xfId="17455"/>
    <cellStyle name="表体数字(小) 2 3 7" xfId="17458"/>
    <cellStyle name="表体数字(小) 2 3 8" xfId="17461"/>
    <cellStyle name="表体数字(小) 2 3 9" xfId="17464"/>
    <cellStyle name="表体数字(小) 2 30" xfId="17212"/>
    <cellStyle name="表体数字(小) 2 30 10" xfId="17214"/>
    <cellStyle name="表体数字(小) 2 30 2" xfId="17216"/>
    <cellStyle name="表体数字(小) 2 30 2 2" xfId="17218"/>
    <cellStyle name="表体数字(小) 2 30 2 3" xfId="17220"/>
    <cellStyle name="表体数字(小) 2 30 2 4" xfId="5841"/>
    <cellStyle name="表体数字(小) 2 30 2 5" xfId="17222"/>
    <cellStyle name="表体数字(小) 2 30 2 6" xfId="17224"/>
    <cellStyle name="表体数字(小) 2 30 2 7" xfId="17226"/>
    <cellStyle name="表体数字(小) 2 30 2 8" xfId="17228"/>
    <cellStyle name="表体数字(小) 2 30 3" xfId="17230"/>
    <cellStyle name="表体数字(小) 2 30 3 2" xfId="17232"/>
    <cellStyle name="表体数字(小) 2 30 3 3" xfId="17234"/>
    <cellStyle name="表体数字(小) 2 30 3 4" xfId="17236"/>
    <cellStyle name="表体数字(小) 2 30 3 5" xfId="17238"/>
    <cellStyle name="表体数字(小) 2 30 3 6" xfId="17240"/>
    <cellStyle name="表体数字(小) 2 30 3 7" xfId="17242"/>
    <cellStyle name="表体数字(小) 2 30 3 8" xfId="17244"/>
    <cellStyle name="表体数字(小) 2 30 4" xfId="17246"/>
    <cellStyle name="表体数字(小) 2 30 5" xfId="17248"/>
    <cellStyle name="表体数字(小) 2 30 6" xfId="17250"/>
    <cellStyle name="表体数字(小) 2 30 7" xfId="17252"/>
    <cellStyle name="表体数字(小) 2 30 8" xfId="17254"/>
    <cellStyle name="表体数字(小) 2 30 9" xfId="17256"/>
    <cellStyle name="表体数字(小) 2 31" xfId="17258"/>
    <cellStyle name="表体数字(小) 2 31 10" xfId="17260"/>
    <cellStyle name="表体数字(小) 2 31 2" xfId="17262"/>
    <cellStyle name="表体数字(小) 2 31 2 2" xfId="17264"/>
    <cellStyle name="表体数字(小) 2 31 2 3" xfId="17266"/>
    <cellStyle name="表体数字(小) 2 31 2 4" xfId="17268"/>
    <cellStyle name="表体数字(小) 2 31 2 5" xfId="6939"/>
    <cellStyle name="表体数字(小) 2 31 2 6" xfId="5947"/>
    <cellStyle name="表体数字(小) 2 31 2 7" xfId="108"/>
    <cellStyle name="表体数字(小) 2 31 2 8" xfId="4650"/>
    <cellStyle name="表体数字(小) 2 31 3" xfId="17273"/>
    <cellStyle name="表体数字(小) 2 31 3 2" xfId="17275"/>
    <cellStyle name="表体数字(小) 2 31 3 3" xfId="17279"/>
    <cellStyle name="表体数字(小) 2 31 3 4" xfId="17283"/>
    <cellStyle name="表体数字(小) 2 31 3 5" xfId="17288"/>
    <cellStyle name="表体数字(小) 2 31 3 6" xfId="17293"/>
    <cellStyle name="表体数字(小) 2 31 3 7" xfId="17298"/>
    <cellStyle name="表体数字(小) 2 31 3 8" xfId="17303"/>
    <cellStyle name="表体数字(小) 2 31 4" xfId="17308"/>
    <cellStyle name="表体数字(小) 2 31 5" xfId="17310"/>
    <cellStyle name="表体数字(小) 2 31 6" xfId="17312"/>
    <cellStyle name="表体数字(小) 2 31 7" xfId="17314"/>
    <cellStyle name="表体数字(小) 2 31 8" xfId="17316"/>
    <cellStyle name="表体数字(小) 2 31 9" xfId="17318"/>
    <cellStyle name="表体数字(小) 2 32" xfId="13129"/>
    <cellStyle name="表体数字(小) 2 32 10" xfId="17320"/>
    <cellStyle name="表体数字(小) 2 32 2" xfId="17322"/>
    <cellStyle name="表体数字(小) 2 32 2 2" xfId="1300"/>
    <cellStyle name="表体数字(小) 2 32 2 3" xfId="2483"/>
    <cellStyle name="表体数字(小) 2 32 2 4" xfId="2530"/>
    <cellStyle name="表体数字(小) 2 32 2 5" xfId="2579"/>
    <cellStyle name="表体数字(小) 2 32 2 6" xfId="17324"/>
    <cellStyle name="表体数字(小) 2 32 2 7" xfId="17326"/>
    <cellStyle name="表体数字(小) 2 32 2 8" xfId="11845"/>
    <cellStyle name="表体数字(小) 2 32 3" xfId="17328"/>
    <cellStyle name="表体数字(小) 2 32 3 2" xfId="16"/>
    <cellStyle name="表体数字(小) 2 32 3 3" xfId="2681"/>
    <cellStyle name="表体数字(小) 2 32 3 4" xfId="2687"/>
    <cellStyle name="表体数字(小) 2 32 3 5" xfId="2697"/>
    <cellStyle name="表体数字(小) 2 32 3 6" xfId="17330"/>
    <cellStyle name="表体数字(小) 2 32 3 7" xfId="17332"/>
    <cellStyle name="表体数字(小) 2 32 3 8" xfId="17334"/>
    <cellStyle name="表体数字(小) 2 32 4" xfId="17336"/>
    <cellStyle name="表体数字(小) 2 32 5" xfId="17340"/>
    <cellStyle name="表体数字(小) 2 32 6" xfId="8130"/>
    <cellStyle name="表体数字(小) 2 32 7" xfId="8135"/>
    <cellStyle name="表体数字(小) 2 32 8" xfId="8142"/>
    <cellStyle name="表体数字(小) 2 32 9" xfId="8147"/>
    <cellStyle name="表体数字(小) 2 33" xfId="13133"/>
    <cellStyle name="表体数字(小) 2 33 10" xfId="3124"/>
    <cellStyle name="表体数字(小) 2 33 2" xfId="17344"/>
    <cellStyle name="表体数字(小) 2 33 2 2" xfId="17346"/>
    <cellStyle name="表体数字(小) 2 33 2 3" xfId="17348"/>
    <cellStyle name="表体数字(小) 2 33 2 4" xfId="17350"/>
    <cellStyle name="表体数字(小) 2 33 2 5" xfId="17352"/>
    <cellStyle name="表体数字(小) 2 33 2 6" xfId="17354"/>
    <cellStyle name="表体数字(小) 2 33 2 7" xfId="17356"/>
    <cellStyle name="表体数字(小) 2 33 2 8" xfId="17358"/>
    <cellStyle name="表体数字(小) 2 33 3" xfId="17360"/>
    <cellStyle name="表体数字(小) 2 33 3 2" xfId="17362"/>
    <cellStyle name="表体数字(小) 2 33 3 3" xfId="17364"/>
    <cellStyle name="表体数字(小) 2 33 3 4" xfId="17366"/>
    <cellStyle name="表体数字(小) 2 33 3 5" xfId="17368"/>
    <cellStyle name="表体数字(小) 2 33 3 6" xfId="17370"/>
    <cellStyle name="表体数字(小) 2 33 3 7" xfId="17372"/>
    <cellStyle name="表体数字(小) 2 33 3 8" xfId="17374"/>
    <cellStyle name="表体数字(小) 2 33 4" xfId="17376"/>
    <cellStyle name="表体数字(小) 2 33 5" xfId="17380"/>
    <cellStyle name="表体数字(小) 2 33 6" xfId="8194"/>
    <cellStyle name="表体数字(小) 2 33 7" xfId="8199"/>
    <cellStyle name="表体数字(小) 2 33 8" xfId="8204"/>
    <cellStyle name="表体数字(小) 2 33 9" xfId="8209"/>
    <cellStyle name="表体数字(小) 2 34" xfId="13137"/>
    <cellStyle name="表体数字(小) 2 34 10" xfId="17384"/>
    <cellStyle name="表体数字(小) 2 34 2" xfId="12820"/>
    <cellStyle name="表体数字(小) 2 34 2 2" xfId="17386"/>
    <cellStyle name="表体数字(小) 2 34 2 3" xfId="17388"/>
    <cellStyle name="表体数字(小) 2 34 2 4" xfId="17390"/>
    <cellStyle name="表体数字(小) 2 34 2 5" xfId="17392"/>
    <cellStyle name="表体数字(小) 2 34 2 6" xfId="17394"/>
    <cellStyle name="表体数字(小) 2 34 2 7" xfId="17396"/>
    <cellStyle name="表体数字(小) 2 34 2 8" xfId="17398"/>
    <cellStyle name="表体数字(小) 2 34 3" xfId="12824"/>
    <cellStyle name="表体数字(小) 2 34 3 2" xfId="17400"/>
    <cellStyle name="表体数字(小) 2 34 3 3" xfId="17402"/>
    <cellStyle name="表体数字(小) 2 34 3 4" xfId="17404"/>
    <cellStyle name="表体数字(小) 2 34 3 5" xfId="17406"/>
    <cellStyle name="表体数字(小) 2 34 3 6" xfId="17408"/>
    <cellStyle name="表体数字(小) 2 34 3 7" xfId="17410"/>
    <cellStyle name="表体数字(小) 2 34 3 8" xfId="17412"/>
    <cellStyle name="表体数字(小) 2 34 4" xfId="12828"/>
    <cellStyle name="表体数字(小) 2 34 5" xfId="12831"/>
    <cellStyle name="表体数字(小) 2 34 6" xfId="12834"/>
    <cellStyle name="表体数字(小) 2 34 7" xfId="12837"/>
    <cellStyle name="表体数字(小) 2 34 8" xfId="12840"/>
    <cellStyle name="表体数字(小) 2 34 9" xfId="17414"/>
    <cellStyle name="表体数字(小) 2 35" xfId="13140"/>
    <cellStyle name="表体数字(小) 2 35 10" xfId="11575"/>
    <cellStyle name="表体数字(小) 2 35 2" xfId="12851"/>
    <cellStyle name="表体数字(小) 2 35 2 2" xfId="17467"/>
    <cellStyle name="表体数字(小) 2 35 2 3" xfId="17471"/>
    <cellStyle name="表体数字(小) 2 35 2 4" xfId="17475"/>
    <cellStyle name="表体数字(小) 2 35 2 5" xfId="17479"/>
    <cellStyle name="表体数字(小) 2 35 2 6" xfId="17483"/>
    <cellStyle name="表体数字(小) 2 35 2 7" xfId="17487"/>
    <cellStyle name="表体数字(小) 2 35 2 8" xfId="17492"/>
    <cellStyle name="表体数字(小) 2 35 3" xfId="12857"/>
    <cellStyle name="表体数字(小) 2 35 3 2" xfId="17497"/>
    <cellStyle name="表体数字(小) 2 35 3 3" xfId="17501"/>
    <cellStyle name="表体数字(小) 2 35 3 4" xfId="17505"/>
    <cellStyle name="表体数字(小) 2 35 3 5" xfId="17509"/>
    <cellStyle name="表体数字(小) 2 35 3 6" xfId="17513"/>
    <cellStyle name="表体数字(小) 2 35 3 7" xfId="17517"/>
    <cellStyle name="表体数字(小) 2 35 3 8" xfId="17522"/>
    <cellStyle name="表体数字(小) 2 35 4" xfId="12863"/>
    <cellStyle name="表体数字(小) 2 35 5" xfId="12868"/>
    <cellStyle name="表体数字(小) 2 35 6" xfId="8221"/>
    <cellStyle name="表体数字(小) 2 35 7" xfId="8227"/>
    <cellStyle name="表体数字(小) 2 35 8" xfId="12873"/>
    <cellStyle name="表体数字(小) 2 35 9" xfId="17527"/>
    <cellStyle name="表体数字(小) 2 36" xfId="13144"/>
    <cellStyle name="表体数字(小) 2 36 10" xfId="17531"/>
    <cellStyle name="表体数字(小) 2 36 2" xfId="17533"/>
    <cellStyle name="表体数字(小) 2 36 2 2" xfId="17537"/>
    <cellStyle name="表体数字(小) 2 36 2 3" xfId="17540"/>
    <cellStyle name="表体数字(小) 2 36 2 4" xfId="17543"/>
    <cellStyle name="表体数字(小) 2 36 2 5" xfId="17546"/>
    <cellStyle name="表体数字(小) 2 36 2 6" xfId="17549"/>
    <cellStyle name="表体数字(小) 2 36 2 7" xfId="17552"/>
    <cellStyle name="表体数字(小) 2 36 2 8" xfId="17557"/>
    <cellStyle name="表体数字(小) 2 36 3" xfId="17562"/>
    <cellStyle name="表体数字(小) 2 36 3 2" xfId="17566"/>
    <cellStyle name="表体数字(小) 2 36 3 3" xfId="17569"/>
    <cellStyle name="表体数字(小) 2 36 3 4" xfId="17572"/>
    <cellStyle name="表体数字(小) 2 36 3 5" xfId="17575"/>
    <cellStyle name="表体数字(小) 2 36 3 6" xfId="17578"/>
    <cellStyle name="表体数字(小) 2 36 3 7" xfId="9267"/>
    <cellStyle name="表体数字(小) 2 36 3 8" xfId="17581"/>
    <cellStyle name="表体数字(小) 2 36 4" xfId="17586"/>
    <cellStyle name="表体数字(小) 2 36 5" xfId="17590"/>
    <cellStyle name="表体数字(小) 2 36 6" xfId="8233"/>
    <cellStyle name="表体数字(小) 2 36 7" xfId="8239"/>
    <cellStyle name="表体数字(小) 2 36 8" xfId="17594"/>
    <cellStyle name="表体数字(小) 2 36 9" xfId="17597"/>
    <cellStyle name="表体数字(小) 2 37" xfId="13148"/>
    <cellStyle name="表体数字(小) 2 37 10" xfId="17600"/>
    <cellStyle name="表体数字(小) 2 37 2" xfId="16393"/>
    <cellStyle name="表体数字(小) 2 37 2 2" xfId="1586"/>
    <cellStyle name="表体数字(小) 2 37 2 3" xfId="6015"/>
    <cellStyle name="表体数字(小) 2 37 2 4" xfId="6021"/>
    <cellStyle name="表体数字(小) 2 37 2 5" xfId="6027"/>
    <cellStyle name="表体数字(小) 2 37 2 6" xfId="17602"/>
    <cellStyle name="表体数字(小) 2 37 2 7" xfId="17604"/>
    <cellStyle name="表体数字(小) 2 37 2 8" xfId="17606"/>
    <cellStyle name="表体数字(小) 2 37 3" xfId="16396"/>
    <cellStyle name="表体数字(小) 2 37 3 2" xfId="17608"/>
    <cellStyle name="表体数字(小) 2 37 3 3" xfId="17610"/>
    <cellStyle name="表体数字(小) 2 37 3 4" xfId="17612"/>
    <cellStyle name="表体数字(小) 2 37 3 5" xfId="17614"/>
    <cellStyle name="表体数字(小) 2 37 3 6" xfId="17616"/>
    <cellStyle name="表体数字(小) 2 37 3 7" xfId="17618"/>
    <cellStyle name="表体数字(小) 2 37 3 8" xfId="17620"/>
    <cellStyle name="表体数字(小) 2 37 4" xfId="618"/>
    <cellStyle name="表体数字(小) 2 37 5" xfId="16399"/>
    <cellStyle name="表体数字(小) 2 37 6" xfId="8244"/>
    <cellStyle name="表体数字(小) 2 37 7" xfId="8249"/>
    <cellStyle name="表体数字(小) 2 37 8" xfId="17622"/>
    <cellStyle name="表体数字(小) 2 37 9" xfId="17625"/>
    <cellStyle name="表体数字(小) 2 38" xfId="13152"/>
    <cellStyle name="表体数字(小) 2 38 10" xfId="17628"/>
    <cellStyle name="表体数字(小) 2 38 2" xfId="16405"/>
    <cellStyle name="表体数字(小) 2 38 2 2" xfId="17630"/>
    <cellStyle name="表体数字(小) 2 38 2 3" xfId="17632"/>
    <cellStyle name="表体数字(小) 2 38 2 4" xfId="17634"/>
    <cellStyle name="表体数字(小) 2 38 2 5" xfId="17636"/>
    <cellStyle name="表体数字(小) 2 38 2 6" xfId="17638"/>
    <cellStyle name="表体数字(小) 2 38 2 7" xfId="17640"/>
    <cellStyle name="表体数字(小) 2 38 2 8" xfId="17642"/>
    <cellStyle name="表体数字(小) 2 38 3" xfId="16410"/>
    <cellStyle name="表体数字(小) 2 38 3 2" xfId="17644"/>
    <cellStyle name="表体数字(小) 2 38 3 3" xfId="17646"/>
    <cellStyle name="表体数字(小) 2 38 3 4" xfId="17648"/>
    <cellStyle name="表体数字(小) 2 38 3 5" xfId="17650"/>
    <cellStyle name="表体数字(小) 2 38 3 6" xfId="17652"/>
    <cellStyle name="表体数字(小) 2 38 3 7" xfId="17654"/>
    <cellStyle name="表体数字(小) 2 38 3 8" xfId="17656"/>
    <cellStyle name="表体数字(小) 2 38 4" xfId="16415"/>
    <cellStyle name="表体数字(小) 2 38 5" xfId="16418"/>
    <cellStyle name="表体数字(小) 2 38 6" xfId="17658"/>
    <cellStyle name="表体数字(小) 2 38 7" xfId="17660"/>
    <cellStyle name="表体数字(小) 2 38 8" xfId="17662"/>
    <cellStyle name="表体数字(小) 2 38 9" xfId="17664"/>
    <cellStyle name="表体数字(小) 2 39" xfId="17666"/>
    <cellStyle name="表体数字(小) 2 39 10" xfId="17668"/>
    <cellStyle name="表体数字(小) 2 39 2" xfId="17670"/>
    <cellStyle name="表体数字(小) 2 39 2 2" xfId="17674"/>
    <cellStyle name="表体数字(小) 2 39 2 3" xfId="17676"/>
    <cellStyle name="表体数字(小) 2 39 2 4" xfId="17678"/>
    <cellStyle name="表体数字(小) 2 39 2 5" xfId="17680"/>
    <cellStyle name="表体数字(小) 2 39 2 6" xfId="17682"/>
    <cellStyle name="表体数字(小) 2 39 2 7" xfId="17684"/>
    <cellStyle name="表体数字(小) 2 39 2 8" xfId="17686"/>
    <cellStyle name="表体数字(小) 2 39 3" xfId="17688"/>
    <cellStyle name="表体数字(小) 2 39 3 2" xfId="16865"/>
    <cellStyle name="表体数字(小) 2 39 3 3" xfId="16891"/>
    <cellStyle name="表体数字(小) 2 39 3 4" xfId="16910"/>
    <cellStyle name="表体数字(小) 2 39 3 5" xfId="16934"/>
    <cellStyle name="表体数字(小) 2 39 3 6" xfId="16958"/>
    <cellStyle name="表体数字(小) 2 39 3 7" xfId="16973"/>
    <cellStyle name="表体数字(小) 2 39 3 8" xfId="17011"/>
    <cellStyle name="表体数字(小) 2 39 4" xfId="17692"/>
    <cellStyle name="表体数字(小) 2 39 5" xfId="17694"/>
    <cellStyle name="表体数字(小) 2 39 6" xfId="17696"/>
    <cellStyle name="表体数字(小) 2 39 7" xfId="17698"/>
    <cellStyle name="表体数字(小) 2 39 8" xfId="17700"/>
    <cellStyle name="表体数字(小) 2 39 9" xfId="17702"/>
    <cellStyle name="表体数字(小) 2 4" xfId="17704"/>
    <cellStyle name="表体数字(小) 2 4 10" xfId="14911"/>
    <cellStyle name="表体数字(小) 2 4 2" xfId="17705"/>
    <cellStyle name="表体数字(小) 2 4 2 2" xfId="12593"/>
    <cellStyle name="表体数字(小) 2 4 2 3" xfId="12597"/>
    <cellStyle name="表体数字(小) 2 4 2 4" xfId="17706"/>
    <cellStyle name="表体数字(小) 2 4 2 5" xfId="9328"/>
    <cellStyle name="表体数字(小) 2 4 2 6" xfId="17707"/>
    <cellStyle name="表体数字(小) 2 4 2 7" xfId="17708"/>
    <cellStyle name="表体数字(小) 2 4 2 8" xfId="17709"/>
    <cellStyle name="表体数字(小) 2 4 3" xfId="17710"/>
    <cellStyle name="表体数字(小) 2 4 3 2" xfId="17711"/>
    <cellStyle name="表体数字(小) 2 4 3 3" xfId="17712"/>
    <cellStyle name="表体数字(小) 2 4 3 4" xfId="17713"/>
    <cellStyle name="表体数字(小) 2 4 3 5" xfId="17714"/>
    <cellStyle name="表体数字(小) 2 4 3 6" xfId="17715"/>
    <cellStyle name="表体数字(小) 2 4 3 7" xfId="17716"/>
    <cellStyle name="表体数字(小) 2 4 3 8" xfId="17717"/>
    <cellStyle name="表体数字(小) 2 4 4" xfId="17718"/>
    <cellStyle name="表体数字(小) 2 4 5" xfId="17719"/>
    <cellStyle name="表体数字(小) 2 4 6" xfId="17720"/>
    <cellStyle name="表体数字(小) 2 4 7" xfId="17721"/>
    <cellStyle name="表体数字(小) 2 4 8" xfId="17722"/>
    <cellStyle name="表体数字(小) 2 4 9" xfId="17723"/>
    <cellStyle name="表体数字(小) 2 40" xfId="13141"/>
    <cellStyle name="表体数字(小) 2 40 10" xfId="11576"/>
    <cellStyle name="表体数字(小) 2 40 2" xfId="12852"/>
    <cellStyle name="表体数字(小) 2 40 2 2" xfId="17468"/>
    <cellStyle name="表体数字(小) 2 40 2 3" xfId="17472"/>
    <cellStyle name="表体数字(小) 2 40 2 4" xfId="17476"/>
    <cellStyle name="表体数字(小) 2 40 2 5" xfId="17480"/>
    <cellStyle name="表体数字(小) 2 40 2 6" xfId="17484"/>
    <cellStyle name="表体数字(小) 2 40 2 7" xfId="17488"/>
    <cellStyle name="表体数字(小) 2 40 2 8" xfId="17493"/>
    <cellStyle name="表体数字(小) 2 40 3" xfId="12858"/>
    <cellStyle name="表体数字(小) 2 40 3 2" xfId="17498"/>
    <cellStyle name="表体数字(小) 2 40 3 3" xfId="17502"/>
    <cellStyle name="表体数字(小) 2 40 3 4" xfId="17506"/>
    <cellStyle name="表体数字(小) 2 40 3 5" xfId="17510"/>
    <cellStyle name="表体数字(小) 2 40 3 6" xfId="17514"/>
    <cellStyle name="表体数字(小) 2 40 3 7" xfId="17518"/>
    <cellStyle name="表体数字(小) 2 40 3 8" xfId="17523"/>
    <cellStyle name="表体数字(小) 2 40 4" xfId="12864"/>
    <cellStyle name="表体数字(小) 2 40 5" xfId="12869"/>
    <cellStyle name="表体数字(小) 2 40 6" xfId="8222"/>
    <cellStyle name="表体数字(小) 2 40 7" xfId="8228"/>
    <cellStyle name="表体数字(小) 2 40 8" xfId="12874"/>
    <cellStyle name="表体数字(小) 2 40 9" xfId="17528"/>
    <cellStyle name="表体数字(小) 2 41" xfId="13145"/>
    <cellStyle name="表体数字(小) 2 41 10" xfId="17532"/>
    <cellStyle name="表体数字(小) 2 41 2" xfId="17534"/>
    <cellStyle name="表体数字(小) 2 41 2 2" xfId="17538"/>
    <cellStyle name="表体数字(小) 2 41 2 3" xfId="17541"/>
    <cellStyle name="表体数字(小) 2 41 2 4" xfId="17544"/>
    <cellStyle name="表体数字(小) 2 41 2 5" xfId="17547"/>
    <cellStyle name="表体数字(小) 2 41 2 6" xfId="17550"/>
    <cellStyle name="表体数字(小) 2 41 2 7" xfId="17553"/>
    <cellStyle name="表体数字(小) 2 41 2 8" xfId="17558"/>
    <cellStyle name="表体数字(小) 2 41 3" xfId="17563"/>
    <cellStyle name="表体数字(小) 2 41 3 2" xfId="17567"/>
    <cellStyle name="表体数字(小) 2 41 3 3" xfId="17570"/>
    <cellStyle name="表体数字(小) 2 41 3 4" xfId="17573"/>
    <cellStyle name="表体数字(小) 2 41 3 5" xfId="17576"/>
    <cellStyle name="表体数字(小) 2 41 3 6" xfId="17579"/>
    <cellStyle name="表体数字(小) 2 41 3 7" xfId="9268"/>
    <cellStyle name="表体数字(小) 2 41 3 8" xfId="17582"/>
    <cellStyle name="表体数字(小) 2 41 4" xfId="17587"/>
    <cellStyle name="表体数字(小) 2 41 5" xfId="17591"/>
    <cellStyle name="表体数字(小) 2 41 6" xfId="8234"/>
    <cellStyle name="表体数字(小) 2 41 7" xfId="8240"/>
    <cellStyle name="表体数字(小) 2 41 8" xfId="17595"/>
    <cellStyle name="表体数字(小) 2 41 9" xfId="17598"/>
    <cellStyle name="表体数字(小) 2 42" xfId="13149"/>
    <cellStyle name="表体数字(小) 2 42 10" xfId="17601"/>
    <cellStyle name="表体数字(小) 2 42 2" xfId="16394"/>
    <cellStyle name="表体数字(小) 2 42 2 2" xfId="1585"/>
    <cellStyle name="表体数字(小) 2 42 2 3" xfId="6016"/>
    <cellStyle name="表体数字(小) 2 42 2 4" xfId="6022"/>
    <cellStyle name="表体数字(小) 2 42 2 5" xfId="6028"/>
    <cellStyle name="表体数字(小) 2 42 2 6" xfId="17603"/>
    <cellStyle name="表体数字(小) 2 42 2 7" xfId="17605"/>
    <cellStyle name="表体数字(小) 2 42 2 8" xfId="17607"/>
    <cellStyle name="表体数字(小) 2 42 3" xfId="16397"/>
    <cellStyle name="表体数字(小) 2 42 3 2" xfId="17609"/>
    <cellStyle name="表体数字(小) 2 42 3 3" xfId="17611"/>
    <cellStyle name="表体数字(小) 2 42 3 4" xfId="17613"/>
    <cellStyle name="表体数字(小) 2 42 3 5" xfId="17615"/>
    <cellStyle name="表体数字(小) 2 42 3 6" xfId="17617"/>
    <cellStyle name="表体数字(小) 2 42 3 7" xfId="17619"/>
    <cellStyle name="表体数字(小) 2 42 3 8" xfId="17621"/>
    <cellStyle name="表体数字(小) 2 42 4" xfId="617"/>
    <cellStyle name="表体数字(小) 2 42 5" xfId="16400"/>
    <cellStyle name="表体数字(小) 2 42 6" xfId="8245"/>
    <cellStyle name="表体数字(小) 2 42 7" xfId="8250"/>
    <cellStyle name="表体数字(小) 2 42 8" xfId="17623"/>
    <cellStyle name="表体数字(小) 2 42 9" xfId="17626"/>
    <cellStyle name="表体数字(小) 2 43" xfId="13153"/>
    <cellStyle name="表体数字(小) 2 43 10" xfId="17629"/>
    <cellStyle name="表体数字(小) 2 43 2" xfId="16406"/>
    <cellStyle name="表体数字(小) 2 43 2 2" xfId="17631"/>
    <cellStyle name="表体数字(小) 2 43 2 3" xfId="17633"/>
    <cellStyle name="表体数字(小) 2 43 2 4" xfId="17635"/>
    <cellStyle name="表体数字(小) 2 43 2 5" xfId="17637"/>
    <cellStyle name="表体数字(小) 2 43 2 6" xfId="17639"/>
    <cellStyle name="表体数字(小) 2 43 2 7" xfId="17641"/>
    <cellStyle name="表体数字(小) 2 43 2 8" xfId="17643"/>
    <cellStyle name="表体数字(小) 2 43 3" xfId="16411"/>
    <cellStyle name="表体数字(小) 2 43 3 2" xfId="17645"/>
    <cellStyle name="表体数字(小) 2 43 3 3" xfId="17647"/>
    <cellStyle name="表体数字(小) 2 43 3 4" xfId="17649"/>
    <cellStyle name="表体数字(小) 2 43 3 5" xfId="17651"/>
    <cellStyle name="表体数字(小) 2 43 3 6" xfId="17653"/>
    <cellStyle name="表体数字(小) 2 43 3 7" xfId="17655"/>
    <cellStyle name="表体数字(小) 2 43 3 8" xfId="17657"/>
    <cellStyle name="表体数字(小) 2 43 4" xfId="16416"/>
    <cellStyle name="表体数字(小) 2 43 5" xfId="16419"/>
    <cellStyle name="表体数字(小) 2 43 6" xfId="17659"/>
    <cellStyle name="表体数字(小) 2 43 7" xfId="17661"/>
    <cellStyle name="表体数字(小) 2 43 8" xfId="17663"/>
    <cellStyle name="表体数字(小) 2 43 9" xfId="17665"/>
    <cellStyle name="表体数字(小) 2 44" xfId="17667"/>
    <cellStyle name="表体数字(小) 2 44 10" xfId="17669"/>
    <cellStyle name="表体数字(小) 2 44 2" xfId="17671"/>
    <cellStyle name="表体数字(小) 2 44 2 2" xfId="17675"/>
    <cellStyle name="表体数字(小) 2 44 2 3" xfId="17677"/>
    <cellStyle name="表体数字(小) 2 44 2 4" xfId="17679"/>
    <cellStyle name="表体数字(小) 2 44 2 5" xfId="17681"/>
    <cellStyle name="表体数字(小) 2 44 2 6" xfId="17683"/>
    <cellStyle name="表体数字(小) 2 44 2 7" xfId="17685"/>
    <cellStyle name="表体数字(小) 2 44 2 8" xfId="17687"/>
    <cellStyle name="表体数字(小) 2 44 3" xfId="17689"/>
    <cellStyle name="表体数字(小) 2 44 3 2" xfId="16866"/>
    <cellStyle name="表体数字(小) 2 44 3 3" xfId="16892"/>
    <cellStyle name="表体数字(小) 2 44 3 4" xfId="16911"/>
    <cellStyle name="表体数字(小) 2 44 3 5" xfId="16935"/>
    <cellStyle name="表体数字(小) 2 44 3 6" xfId="16959"/>
    <cellStyle name="表体数字(小) 2 44 3 7" xfId="16974"/>
    <cellStyle name="表体数字(小) 2 44 3 8" xfId="17012"/>
    <cellStyle name="表体数字(小) 2 44 4" xfId="17693"/>
    <cellStyle name="表体数字(小) 2 44 5" xfId="17695"/>
    <cellStyle name="表体数字(小) 2 44 6" xfId="17697"/>
    <cellStyle name="表体数字(小) 2 44 7" xfId="17699"/>
    <cellStyle name="表体数字(小) 2 44 8" xfId="17701"/>
    <cellStyle name="表体数字(小) 2 44 9" xfId="17703"/>
    <cellStyle name="表体数字(小) 2 45" xfId="17724"/>
    <cellStyle name="表体数字(小) 2 45 10" xfId="7719"/>
    <cellStyle name="表体数字(小) 2 45 2" xfId="17726"/>
    <cellStyle name="表体数字(小) 2 45 2 2" xfId="17729"/>
    <cellStyle name="表体数字(小) 2 45 2 3" xfId="17731"/>
    <cellStyle name="表体数字(小) 2 45 2 4" xfId="17733"/>
    <cellStyle name="表体数字(小) 2 45 2 5" xfId="17735"/>
    <cellStyle name="表体数字(小) 2 45 2 6" xfId="17737"/>
    <cellStyle name="表体数字(小) 2 45 2 7" xfId="17739"/>
    <cellStyle name="表体数字(小) 2 45 2 8" xfId="17741"/>
    <cellStyle name="表体数字(小) 2 45 3" xfId="17743"/>
    <cellStyle name="表体数字(小) 2 45 3 2" xfId="17746"/>
    <cellStyle name="表体数字(小) 2 45 3 3" xfId="17749"/>
    <cellStyle name="表体数字(小) 2 45 3 4" xfId="17751"/>
    <cellStyle name="表体数字(小) 2 45 3 5" xfId="17755"/>
    <cellStyle name="表体数字(小) 2 45 3 6" xfId="17757"/>
    <cellStyle name="表体数字(小) 2 45 3 7" xfId="17759"/>
    <cellStyle name="表体数字(小) 2 45 3 8" xfId="17761"/>
    <cellStyle name="表体数字(小) 2 45 4" xfId="17763"/>
    <cellStyle name="表体数字(小) 2 45 5" xfId="17766"/>
    <cellStyle name="表体数字(小) 2 45 6" xfId="17768"/>
    <cellStyle name="表体数字(小) 2 45 7" xfId="17770"/>
    <cellStyle name="表体数字(小) 2 45 8" xfId="17772"/>
    <cellStyle name="表体数字(小) 2 45 9" xfId="5856"/>
    <cellStyle name="表体数字(小) 2 46" xfId="17774"/>
    <cellStyle name="表体数字(小) 2 46 10" xfId="17776"/>
    <cellStyle name="表体数字(小) 2 46 2" xfId="17778"/>
    <cellStyle name="表体数字(小) 2 46 2 2" xfId="6446"/>
    <cellStyle name="表体数字(小) 2 46 2 3" xfId="6456"/>
    <cellStyle name="表体数字(小) 2 46 2 4" xfId="17781"/>
    <cellStyle name="表体数字(小) 2 46 2 5" xfId="17783"/>
    <cellStyle name="表体数字(小) 2 46 2 6" xfId="6821"/>
    <cellStyle name="表体数字(小) 2 46 2 7" xfId="462"/>
    <cellStyle name="表体数字(小) 2 46 2 8" xfId="487"/>
    <cellStyle name="表体数字(小) 2 46 3" xfId="17785"/>
    <cellStyle name="表体数字(小) 2 46 3 2" xfId="6513"/>
    <cellStyle name="表体数字(小) 2 46 3 3" xfId="2944"/>
    <cellStyle name="表体数字(小) 2 46 3 4" xfId="17788"/>
    <cellStyle name="表体数字(小) 2 46 3 5" xfId="17792"/>
    <cellStyle name="表体数字(小) 2 46 3 6" xfId="17794"/>
    <cellStyle name="表体数字(小) 2 46 3 7" xfId="7929"/>
    <cellStyle name="表体数字(小) 2 46 3 8" xfId="7933"/>
    <cellStyle name="表体数字(小) 2 46 4" xfId="17796"/>
    <cellStyle name="表体数字(小) 2 46 5" xfId="17799"/>
    <cellStyle name="表体数字(小) 2 46 6" xfId="17801"/>
    <cellStyle name="表体数字(小) 2 46 7" xfId="17803"/>
    <cellStyle name="表体数字(小) 2 46 8" xfId="17805"/>
    <cellStyle name="表体数字(小) 2 46 9" xfId="17807"/>
    <cellStyle name="表体数字(小) 2 47" xfId="17809"/>
    <cellStyle name="表体数字(小) 2 47 10" xfId="17811"/>
    <cellStyle name="表体数字(小) 2 47 2" xfId="6865"/>
    <cellStyle name="表体数字(小) 2 47 2 2" xfId="8930"/>
    <cellStyle name="表体数字(小) 2 47 2 3" xfId="8936"/>
    <cellStyle name="表体数字(小) 2 47 2 4" xfId="8941"/>
    <cellStyle name="表体数字(小) 2 47 2 5" xfId="8946"/>
    <cellStyle name="表体数字(小) 2 47 2 6" xfId="8953"/>
    <cellStyle name="表体数字(小) 2 47 2 7" xfId="8063"/>
    <cellStyle name="表体数字(小) 2 47 2 8" xfId="8067"/>
    <cellStyle name="表体数字(小) 2 47 3" xfId="6868"/>
    <cellStyle name="表体数字(小) 2 47 3 2" xfId="17813"/>
    <cellStyle name="表体数字(小) 2 47 3 3" xfId="17815"/>
    <cellStyle name="表体数字(小) 2 47 3 4" xfId="17817"/>
    <cellStyle name="表体数字(小) 2 47 3 5" xfId="8093"/>
    <cellStyle name="表体数字(小) 2 47 3 6" xfId="17821"/>
    <cellStyle name="表体数字(小) 2 47 3 7" xfId="8075"/>
    <cellStyle name="表体数字(小) 2 47 3 8" xfId="8079"/>
    <cellStyle name="表体数字(小) 2 47 4" xfId="7033"/>
    <cellStyle name="表体数字(小) 2 47 5" xfId="17823"/>
    <cellStyle name="表体数字(小) 2 47 6" xfId="17825"/>
    <cellStyle name="表体数字(小) 2 47 7" xfId="15704"/>
    <cellStyle name="表体数字(小) 2 47 8" xfId="17827"/>
    <cellStyle name="表体数字(小) 2 47 9" xfId="17829"/>
    <cellStyle name="表体数字(小) 2 48" xfId="17831"/>
    <cellStyle name="表体数字(小) 2 48 10" xfId="17833"/>
    <cellStyle name="表体数字(小) 2 48 2" xfId="17835"/>
    <cellStyle name="表体数字(小) 2 48 2 2" xfId="17837"/>
    <cellStyle name="表体数字(小) 2 48 2 3" xfId="17841"/>
    <cellStyle name="表体数字(小) 2 48 2 4" xfId="17845"/>
    <cellStyle name="表体数字(小) 2 48 2 5" xfId="17849"/>
    <cellStyle name="表体数字(小) 2 48 2 6" xfId="17853"/>
    <cellStyle name="表体数字(小) 2 48 2 7" xfId="17857"/>
    <cellStyle name="表体数字(小) 2 48 2 8" xfId="17862"/>
    <cellStyle name="表体数字(小) 2 48 3" xfId="17864"/>
    <cellStyle name="表体数字(小) 2 48 3 2" xfId="17866"/>
    <cellStyle name="表体数字(小) 2 48 3 3" xfId="17870"/>
    <cellStyle name="表体数字(小) 2 48 3 4" xfId="17876"/>
    <cellStyle name="表体数字(小) 2 48 3 5" xfId="987"/>
    <cellStyle name="表体数字(小) 2 48 3 6" xfId="996"/>
    <cellStyle name="表体数字(小) 2 48 3 7" xfId="1001"/>
    <cellStyle name="表体数字(小) 2 48 3 8" xfId="1010"/>
    <cellStyle name="表体数字(小) 2 48 4" xfId="17880"/>
    <cellStyle name="表体数字(小) 2 48 5" xfId="17882"/>
    <cellStyle name="表体数字(小) 2 48 6" xfId="17885"/>
    <cellStyle name="表体数字(小) 2 48 7" xfId="17888"/>
    <cellStyle name="表体数字(小) 2 48 8" xfId="17891"/>
    <cellStyle name="表体数字(小) 2 48 9" xfId="17894"/>
    <cellStyle name="表体数字(小) 2 49" xfId="17896"/>
    <cellStyle name="表体数字(小) 2 49 10" xfId="17898"/>
    <cellStyle name="表体数字(小) 2 49 2" xfId="17900"/>
    <cellStyle name="表体数字(小) 2 49 2 2" xfId="17902"/>
    <cellStyle name="表体数字(小) 2 49 2 3" xfId="17905"/>
    <cellStyle name="表体数字(小) 2 49 2 4" xfId="17907"/>
    <cellStyle name="表体数字(小) 2 49 2 5" xfId="17909"/>
    <cellStyle name="表体数字(小) 2 49 2 6" xfId="17911"/>
    <cellStyle name="表体数字(小) 2 49 2 7" xfId="17913"/>
    <cellStyle name="表体数字(小) 2 49 2 8" xfId="17917"/>
    <cellStyle name="表体数字(小) 2 49 3" xfId="17919"/>
    <cellStyle name="表体数字(小) 2 49 3 2" xfId="17921"/>
    <cellStyle name="表体数字(小) 2 49 3 3" xfId="17923"/>
    <cellStyle name="表体数字(小) 2 49 3 4" xfId="17925"/>
    <cellStyle name="表体数字(小) 2 49 3 5" xfId="17929"/>
    <cellStyle name="表体数字(小) 2 49 3 6" xfId="15483"/>
    <cellStyle name="表体数字(小) 2 49 3 7" xfId="17931"/>
    <cellStyle name="表体数字(小) 2 49 3 8" xfId="17933"/>
    <cellStyle name="表体数字(小) 2 49 4" xfId="17935"/>
    <cellStyle name="表体数字(小) 2 49 5" xfId="17937"/>
    <cellStyle name="表体数字(小) 2 49 6" xfId="17939"/>
    <cellStyle name="表体数字(小) 2 49 7" xfId="17941"/>
    <cellStyle name="表体数字(小) 2 49 8" xfId="17943"/>
    <cellStyle name="表体数字(小) 2 49 9" xfId="17945"/>
    <cellStyle name="表体数字(小) 2 5" xfId="17947"/>
    <cellStyle name="表体数字(小) 2 5 10" xfId="17948"/>
    <cellStyle name="表体数字(小) 2 5 2" xfId="17949"/>
    <cellStyle name="表体数字(小) 2 5 2 2" xfId="17950"/>
    <cellStyle name="表体数字(小) 2 5 2 3" xfId="17951"/>
    <cellStyle name="表体数字(小) 2 5 2 4" xfId="17952"/>
    <cellStyle name="表体数字(小) 2 5 2 5" xfId="17953"/>
    <cellStyle name="表体数字(小) 2 5 2 6" xfId="17954"/>
    <cellStyle name="表体数字(小) 2 5 2 7" xfId="17955"/>
    <cellStyle name="表体数字(小) 2 5 2 8" xfId="17956"/>
    <cellStyle name="表体数字(小) 2 5 3" xfId="931"/>
    <cellStyle name="表体数字(小) 2 5 3 2" xfId="4869"/>
    <cellStyle name="表体数字(小) 2 5 3 3" xfId="3758"/>
    <cellStyle name="表体数字(小) 2 5 3 4" xfId="3761"/>
    <cellStyle name="表体数字(小) 2 5 3 5" xfId="4921"/>
    <cellStyle name="表体数字(小) 2 5 3 6" xfId="4924"/>
    <cellStyle name="表体数字(小) 2 5 3 7" xfId="4936"/>
    <cellStyle name="表体数字(小) 2 5 3 8" xfId="4944"/>
    <cellStyle name="表体数字(小) 2 5 4" xfId="17957"/>
    <cellStyle name="表体数字(小) 2 5 5" xfId="17958"/>
    <cellStyle name="表体数字(小) 2 5 6" xfId="17959"/>
    <cellStyle name="表体数字(小) 2 5 7" xfId="17960"/>
    <cellStyle name="表体数字(小) 2 5 8" xfId="17961"/>
    <cellStyle name="表体数字(小) 2 5 9" xfId="17962"/>
    <cellStyle name="表体数字(小) 2 50" xfId="17725"/>
    <cellStyle name="表体数字(小) 2 50 10" xfId="7720"/>
    <cellStyle name="表体数字(小) 2 50 2" xfId="17727"/>
    <cellStyle name="表体数字(小) 2 50 2 2" xfId="17730"/>
    <cellStyle name="表体数字(小) 2 50 2 3" xfId="17732"/>
    <cellStyle name="表体数字(小) 2 50 2 4" xfId="17734"/>
    <cellStyle name="表体数字(小) 2 50 2 5" xfId="17736"/>
    <cellStyle name="表体数字(小) 2 50 2 6" xfId="17738"/>
    <cellStyle name="表体数字(小) 2 50 2 7" xfId="17740"/>
    <cellStyle name="表体数字(小) 2 50 2 8" xfId="17742"/>
    <cellStyle name="表体数字(小) 2 50 3" xfId="17744"/>
    <cellStyle name="表体数字(小) 2 50 3 2" xfId="17747"/>
    <cellStyle name="表体数字(小) 2 50 3 3" xfId="17750"/>
    <cellStyle name="表体数字(小) 2 50 3 4" xfId="17752"/>
    <cellStyle name="表体数字(小) 2 50 3 5" xfId="17756"/>
    <cellStyle name="表体数字(小) 2 50 3 6" xfId="17758"/>
    <cellStyle name="表体数字(小) 2 50 3 7" xfId="17760"/>
    <cellStyle name="表体数字(小) 2 50 3 8" xfId="17762"/>
    <cellStyle name="表体数字(小) 2 50 4" xfId="17764"/>
    <cellStyle name="表体数字(小) 2 50 5" xfId="17767"/>
    <cellStyle name="表体数字(小) 2 50 6" xfId="17769"/>
    <cellStyle name="表体数字(小) 2 50 7" xfId="17771"/>
    <cellStyle name="表体数字(小) 2 50 8" xfId="17773"/>
    <cellStyle name="表体数字(小) 2 50 9" xfId="5857"/>
    <cellStyle name="表体数字(小) 2 51" xfId="17775"/>
    <cellStyle name="表体数字(小) 2 51 10" xfId="17777"/>
    <cellStyle name="表体数字(小) 2 51 2" xfId="17779"/>
    <cellStyle name="表体数字(小) 2 51 2 2" xfId="6447"/>
    <cellStyle name="表体数字(小) 2 51 2 3" xfId="6457"/>
    <cellStyle name="表体数字(小) 2 51 2 4" xfId="17782"/>
    <cellStyle name="表体数字(小) 2 51 2 5" xfId="17784"/>
    <cellStyle name="表体数字(小) 2 51 2 6" xfId="6822"/>
    <cellStyle name="表体数字(小) 2 51 2 7" xfId="463"/>
    <cellStyle name="表体数字(小) 2 51 2 8" xfId="486"/>
    <cellStyle name="表体数字(小) 2 51 3" xfId="17786"/>
    <cellStyle name="表体数字(小) 2 51 3 2" xfId="6514"/>
    <cellStyle name="表体数字(小) 2 51 3 3" xfId="2943"/>
    <cellStyle name="表体数字(小) 2 51 3 4" xfId="17789"/>
    <cellStyle name="表体数字(小) 2 51 3 5" xfId="17793"/>
    <cellStyle name="表体数字(小) 2 51 3 6" xfId="17795"/>
    <cellStyle name="表体数字(小) 2 51 3 7" xfId="7930"/>
    <cellStyle name="表体数字(小) 2 51 3 8" xfId="7934"/>
    <cellStyle name="表体数字(小) 2 51 4" xfId="17797"/>
    <cellStyle name="表体数字(小) 2 51 5" xfId="17800"/>
    <cellStyle name="表体数字(小) 2 51 6" xfId="17802"/>
    <cellStyle name="表体数字(小) 2 51 7" xfId="17804"/>
    <cellStyle name="表体数字(小) 2 51 8" xfId="17806"/>
    <cellStyle name="表体数字(小) 2 51 9" xfId="17808"/>
    <cellStyle name="表体数字(小) 2 52" xfId="17810"/>
    <cellStyle name="表体数字(小) 2 52 10" xfId="17812"/>
    <cellStyle name="表体数字(小) 2 52 2" xfId="6866"/>
    <cellStyle name="表体数字(小) 2 52 2 2" xfId="8931"/>
    <cellStyle name="表体数字(小) 2 52 2 3" xfId="8937"/>
    <cellStyle name="表体数字(小) 2 52 2 4" xfId="8942"/>
    <cellStyle name="表体数字(小) 2 52 2 5" xfId="8947"/>
    <cellStyle name="表体数字(小) 2 52 2 6" xfId="8954"/>
    <cellStyle name="表体数字(小) 2 52 2 7" xfId="8064"/>
    <cellStyle name="表体数字(小) 2 52 2 8" xfId="8068"/>
    <cellStyle name="表体数字(小) 2 52 3" xfId="6869"/>
    <cellStyle name="表体数字(小) 2 52 3 2" xfId="17814"/>
    <cellStyle name="表体数字(小) 2 52 3 3" xfId="17816"/>
    <cellStyle name="表体数字(小) 2 52 3 4" xfId="17818"/>
    <cellStyle name="表体数字(小) 2 52 3 5" xfId="8094"/>
    <cellStyle name="表体数字(小) 2 52 3 6" xfId="17822"/>
    <cellStyle name="表体数字(小) 2 52 3 7" xfId="8076"/>
    <cellStyle name="表体数字(小) 2 52 3 8" xfId="8080"/>
    <cellStyle name="表体数字(小) 2 52 4" xfId="7034"/>
    <cellStyle name="表体数字(小) 2 52 5" xfId="17824"/>
    <cellStyle name="表体数字(小) 2 52 6" xfId="17826"/>
    <cellStyle name="表体数字(小) 2 52 7" xfId="15705"/>
    <cellStyle name="表体数字(小) 2 52 8" xfId="17828"/>
    <cellStyle name="表体数字(小) 2 52 9" xfId="17830"/>
    <cellStyle name="表体数字(小) 2 53" xfId="17832"/>
    <cellStyle name="表体数字(小) 2 53 10" xfId="17834"/>
    <cellStyle name="表体数字(小) 2 53 2" xfId="17836"/>
    <cellStyle name="表体数字(小) 2 53 2 2" xfId="17838"/>
    <cellStyle name="表体数字(小) 2 53 2 3" xfId="17842"/>
    <cellStyle name="表体数字(小) 2 53 2 4" xfId="17846"/>
    <cellStyle name="表体数字(小) 2 53 2 5" xfId="17850"/>
    <cellStyle name="表体数字(小) 2 53 2 6" xfId="17854"/>
    <cellStyle name="表体数字(小) 2 53 2 7" xfId="17858"/>
    <cellStyle name="表体数字(小) 2 53 2 8" xfId="17863"/>
    <cellStyle name="表体数字(小) 2 53 3" xfId="17865"/>
    <cellStyle name="表体数字(小) 2 53 3 2" xfId="17867"/>
    <cellStyle name="表体数字(小) 2 53 3 3" xfId="17871"/>
    <cellStyle name="表体数字(小) 2 53 3 4" xfId="17877"/>
    <cellStyle name="表体数字(小) 2 53 3 5" xfId="986"/>
    <cellStyle name="表体数字(小) 2 53 3 6" xfId="995"/>
    <cellStyle name="表体数字(小) 2 53 3 7" xfId="1000"/>
    <cellStyle name="表体数字(小) 2 53 3 8" xfId="1009"/>
    <cellStyle name="表体数字(小) 2 53 4" xfId="17881"/>
    <cellStyle name="表体数字(小) 2 53 5" xfId="17883"/>
    <cellStyle name="表体数字(小) 2 53 6" xfId="17886"/>
    <cellStyle name="表体数字(小) 2 53 7" xfId="17889"/>
    <cellStyle name="表体数字(小) 2 53 8" xfId="17892"/>
    <cellStyle name="表体数字(小) 2 53 9" xfId="17895"/>
    <cellStyle name="表体数字(小) 2 54" xfId="17897"/>
    <cellStyle name="表体数字(小) 2 54 10" xfId="17899"/>
    <cellStyle name="表体数字(小) 2 54 2" xfId="17901"/>
    <cellStyle name="表体数字(小) 2 54 2 2" xfId="17903"/>
    <cellStyle name="表体数字(小) 2 54 2 3" xfId="17906"/>
    <cellStyle name="表体数字(小) 2 54 2 4" xfId="17908"/>
    <cellStyle name="表体数字(小) 2 54 2 5" xfId="17910"/>
    <cellStyle name="表体数字(小) 2 54 2 6" xfId="17912"/>
    <cellStyle name="表体数字(小) 2 54 2 7" xfId="17914"/>
    <cellStyle name="表体数字(小) 2 54 2 8" xfId="17918"/>
    <cellStyle name="表体数字(小) 2 54 3" xfId="17920"/>
    <cellStyle name="表体数字(小) 2 54 3 2" xfId="17922"/>
    <cellStyle name="表体数字(小) 2 54 3 3" xfId="17924"/>
    <cellStyle name="表体数字(小) 2 54 3 4" xfId="17926"/>
    <cellStyle name="表体数字(小) 2 54 3 5" xfId="17930"/>
    <cellStyle name="表体数字(小) 2 54 3 6" xfId="15484"/>
    <cellStyle name="表体数字(小) 2 54 3 7" xfId="17932"/>
    <cellStyle name="表体数字(小) 2 54 3 8" xfId="17934"/>
    <cellStyle name="表体数字(小) 2 54 4" xfId="17936"/>
    <cellStyle name="表体数字(小) 2 54 5" xfId="17938"/>
    <cellStyle name="表体数字(小) 2 54 6" xfId="17940"/>
    <cellStyle name="表体数字(小) 2 54 7" xfId="17942"/>
    <cellStyle name="表体数字(小) 2 54 8" xfId="17944"/>
    <cellStyle name="表体数字(小) 2 54 9" xfId="17946"/>
    <cellStyle name="表体数字(小) 2 55" xfId="17963"/>
    <cellStyle name="表体数字(小) 2 55 10" xfId="1670"/>
    <cellStyle name="表体数字(小) 2 55 2" xfId="17965"/>
    <cellStyle name="表体数字(小) 2 55 2 2" xfId="15903"/>
    <cellStyle name="表体数字(小) 2 55 2 3" xfId="15907"/>
    <cellStyle name="表体数字(小) 2 55 2 4" xfId="15911"/>
    <cellStyle name="表体数字(小) 2 55 2 5" xfId="15915"/>
    <cellStyle name="表体数字(小) 2 55 2 6" xfId="17967"/>
    <cellStyle name="表体数字(小) 2 55 2 7" xfId="17969"/>
    <cellStyle name="表体数字(小) 2 55 2 8" xfId="17973"/>
    <cellStyle name="表体数字(小) 2 55 3" xfId="17975"/>
    <cellStyle name="表体数字(小) 2 55 3 2" xfId="15959"/>
    <cellStyle name="表体数字(小) 2 55 3 3" xfId="15963"/>
    <cellStyle name="表体数字(小) 2 55 3 4" xfId="15967"/>
    <cellStyle name="表体数字(小) 2 55 3 5" xfId="15971"/>
    <cellStyle name="表体数字(小) 2 55 3 6" xfId="16422"/>
    <cellStyle name="表体数字(小) 2 55 3 7" xfId="17977"/>
    <cellStyle name="表体数字(小) 2 55 3 8" xfId="17979"/>
    <cellStyle name="表体数字(小) 2 55 4" xfId="17981"/>
    <cellStyle name="表体数字(小) 2 55 5" xfId="17983"/>
    <cellStyle name="表体数字(小) 2 55 6" xfId="17985"/>
    <cellStyle name="表体数字(小) 2 55 7" xfId="17987"/>
    <cellStyle name="表体数字(小) 2 55 8" xfId="17989"/>
    <cellStyle name="表体数字(小) 2 55 9" xfId="17991"/>
    <cellStyle name="表体数字(小) 2 56" xfId="17993"/>
    <cellStyle name="表体数字(小) 2 56 10" xfId="17995"/>
    <cellStyle name="表体数字(小) 2 56 2" xfId="17997"/>
    <cellStyle name="表体数字(小) 2 56 2 2" xfId="17999"/>
    <cellStyle name="表体数字(小) 2 56 2 3" xfId="18001"/>
    <cellStyle name="表体数字(小) 2 56 2 4" xfId="18003"/>
    <cellStyle name="表体数字(小) 2 56 2 5" xfId="18007"/>
    <cellStyle name="表体数字(小) 2 56 2 6" xfId="18011"/>
    <cellStyle name="表体数字(小) 2 56 2 7" xfId="18015"/>
    <cellStyle name="表体数字(小) 2 56 2 8" xfId="18021"/>
    <cellStyle name="表体数字(小) 2 56 3" xfId="18025"/>
    <cellStyle name="表体数字(小) 2 56 3 2" xfId="18027"/>
    <cellStyle name="表体数字(小) 2 56 3 3" xfId="18029"/>
    <cellStyle name="表体数字(小) 2 56 3 4" xfId="18031"/>
    <cellStyle name="表体数字(小) 2 56 3 5" xfId="18035"/>
    <cellStyle name="表体数字(小) 2 56 3 6" xfId="18039"/>
    <cellStyle name="表体数字(小) 2 56 3 7" xfId="18043"/>
    <cellStyle name="表体数字(小) 2 56 3 8" xfId="18047"/>
    <cellStyle name="表体数字(小) 2 56 4" xfId="18051"/>
    <cellStyle name="表体数字(小) 2 56 5" xfId="18053"/>
    <cellStyle name="表体数字(小) 2 56 6" xfId="18055"/>
    <cellStyle name="表体数字(小) 2 56 7" xfId="18057"/>
    <cellStyle name="表体数字(小) 2 56 8" xfId="18059"/>
    <cellStyle name="表体数字(小) 2 56 9" xfId="18061"/>
    <cellStyle name="表体数字(小) 2 57" xfId="18063"/>
    <cellStyle name="表体数字(小) 2 57 10" xfId="8762"/>
    <cellStyle name="表体数字(小) 2 57 2" xfId="18065"/>
    <cellStyle name="表体数字(小) 2 57 2 2" xfId="6124"/>
    <cellStyle name="表体数字(小) 2 57 2 3" xfId="6129"/>
    <cellStyle name="表体数字(小) 2 57 2 4" xfId="6134"/>
    <cellStyle name="表体数字(小) 2 57 2 5" xfId="6137"/>
    <cellStyle name="表体数字(小) 2 57 2 6" xfId="18067"/>
    <cellStyle name="表体数字(小) 2 57 2 7" xfId="18069"/>
    <cellStyle name="表体数字(小) 2 57 2 8" xfId="18073"/>
    <cellStyle name="表体数字(小) 2 57 3" xfId="18075"/>
    <cellStyle name="表体数字(小) 2 57 3 2" xfId="12472"/>
    <cellStyle name="表体数字(小) 2 57 3 3" xfId="12475"/>
    <cellStyle name="表体数字(小) 2 57 3 4" xfId="12478"/>
    <cellStyle name="表体数字(小) 2 57 3 5" xfId="12481"/>
    <cellStyle name="表体数字(小) 2 57 3 6" xfId="12485"/>
    <cellStyle name="表体数字(小) 2 57 3 7" xfId="12489"/>
    <cellStyle name="表体数字(小) 2 57 3 8" xfId="12493"/>
    <cellStyle name="表体数字(小) 2 57 4" xfId="18077"/>
    <cellStyle name="表体数字(小) 2 57 5" xfId="18079"/>
    <cellStyle name="表体数字(小) 2 57 6" xfId="18081"/>
    <cellStyle name="表体数字(小) 2 57 7" xfId="15741"/>
    <cellStyle name="表体数字(小) 2 57 8" xfId="18083"/>
    <cellStyle name="表体数字(小) 2 57 9" xfId="18085"/>
    <cellStyle name="表体数字(小) 2 58" xfId="18087"/>
    <cellStyle name="表体数字(小) 2 58 10" xfId="8783"/>
    <cellStyle name="表体数字(小) 2 58 2" xfId="18089"/>
    <cellStyle name="表体数字(小) 2 58 2 2" xfId="18091"/>
    <cellStyle name="表体数字(小) 2 58 2 3" xfId="9026"/>
    <cellStyle name="表体数字(小) 2 58 2 4" xfId="18093"/>
    <cellStyle name="表体数字(小) 2 58 2 5" xfId="18095"/>
    <cellStyle name="表体数字(小) 2 58 2 6" xfId="18097"/>
    <cellStyle name="表体数字(小) 2 58 2 7" xfId="18100"/>
    <cellStyle name="表体数字(小) 2 58 2 8" xfId="18104"/>
    <cellStyle name="表体数字(小) 2 58 3" xfId="18106"/>
    <cellStyle name="表体数字(小) 2 58 3 2" xfId="18108"/>
    <cellStyle name="表体数字(小) 2 58 3 3" xfId="18110"/>
    <cellStyle name="表体数字(小) 2 58 3 4" xfId="18112"/>
    <cellStyle name="表体数字(小) 2 58 3 5" xfId="18114"/>
    <cellStyle name="表体数字(小) 2 58 3 6" xfId="161"/>
    <cellStyle name="表体数字(小) 2 58 3 7" xfId="177"/>
    <cellStyle name="表体数字(小) 2 58 3 8" xfId="4"/>
    <cellStyle name="表体数字(小) 2 58 4" xfId="18116"/>
    <cellStyle name="表体数字(小) 2 58 5" xfId="18119"/>
    <cellStyle name="表体数字(小) 2 58 6" xfId="18122"/>
    <cellStyle name="表体数字(小) 2 58 7" xfId="18125"/>
    <cellStyle name="表体数字(小) 2 58 8" xfId="18128"/>
    <cellStyle name="表体数字(小) 2 58 9" xfId="18131"/>
    <cellStyle name="表体数字(小) 2 59" xfId="18134"/>
    <cellStyle name="表体数字(小) 2 59 10" xfId="12737"/>
    <cellStyle name="表体数字(小) 2 59 2" xfId="18136"/>
    <cellStyle name="表体数字(小) 2 59 2 2" xfId="18138"/>
    <cellStyle name="表体数字(小) 2 59 2 3" xfId="18140"/>
    <cellStyle name="表体数字(小) 2 59 2 4" xfId="18142"/>
    <cellStyle name="表体数字(小) 2 59 2 5" xfId="18144"/>
    <cellStyle name="表体数字(小) 2 59 2 6" xfId="18146"/>
    <cellStyle name="表体数字(小) 2 59 2 7" xfId="18150"/>
    <cellStyle name="表体数字(小) 2 59 2 8" xfId="8908"/>
    <cellStyle name="表体数字(小) 2 59 3" xfId="18152"/>
    <cellStyle name="表体数字(小) 2 59 3 2" xfId="18154"/>
    <cellStyle name="表体数字(小) 2 59 3 3" xfId="18156"/>
    <cellStyle name="表体数字(小) 2 59 3 4" xfId="18158"/>
    <cellStyle name="表体数字(小) 2 59 3 5" xfId="18160"/>
    <cellStyle name="表体数字(小) 2 59 3 6" xfId="18162"/>
    <cellStyle name="表体数字(小) 2 59 3 7" xfId="18164"/>
    <cellStyle name="表体数字(小) 2 59 3 8" xfId="18166"/>
    <cellStyle name="表体数字(小) 2 59 4" xfId="18168"/>
    <cellStyle name="表体数字(小) 2 59 5" xfId="18171"/>
    <cellStyle name="表体数字(小) 2 59 6" xfId="18174"/>
    <cellStyle name="表体数字(小) 2 59 7" xfId="18177"/>
    <cellStyle name="表体数字(小) 2 59 8" xfId="18180"/>
    <cellStyle name="表体数字(小) 2 59 9" xfId="18183"/>
    <cellStyle name="表体数字(小) 2 6" xfId="18186"/>
    <cellStyle name="表体数字(小) 2 6 10" xfId="8151"/>
    <cellStyle name="表体数字(小) 2 6 2" xfId="18187"/>
    <cellStyle name="表体数字(小) 2 6 2 2" xfId="12731"/>
    <cellStyle name="表体数字(小) 2 6 2 3" xfId="12733"/>
    <cellStyle name="表体数字(小) 2 6 2 4" xfId="12735"/>
    <cellStyle name="表体数字(小) 2 6 2 5" xfId="18188"/>
    <cellStyle name="表体数字(小) 2 6 2 6" xfId="18189"/>
    <cellStyle name="表体数字(小) 2 6 2 7" xfId="18190"/>
    <cellStyle name="表体数字(小) 2 6 2 8" xfId="18191"/>
    <cellStyle name="表体数字(小) 2 6 3" xfId="18192"/>
    <cellStyle name="表体数字(小) 2 6 3 2" xfId="18193"/>
    <cellStyle name="表体数字(小) 2 6 3 3" xfId="18194"/>
    <cellStyle name="表体数字(小) 2 6 3 4" xfId="18195"/>
    <cellStyle name="表体数字(小) 2 6 3 5" xfId="8127"/>
    <cellStyle name="表体数字(小) 2 6 3 6" xfId="18196"/>
    <cellStyle name="表体数字(小) 2 6 3 7" xfId="18197"/>
    <cellStyle name="表体数字(小) 2 6 3 8" xfId="18198"/>
    <cellStyle name="表体数字(小) 2 6 4" xfId="18199"/>
    <cellStyle name="表体数字(小) 2 6 5" xfId="18200"/>
    <cellStyle name="表体数字(小) 2 6 6" xfId="18201"/>
    <cellStyle name="表体数字(小) 2 6 7" xfId="18202"/>
    <cellStyle name="表体数字(小) 2 6 8" xfId="18203"/>
    <cellStyle name="表体数字(小) 2 6 9" xfId="18204"/>
    <cellStyle name="表体数字(小) 2 60" xfId="17964"/>
    <cellStyle name="表体数字(小) 2 60 10" xfId="1669"/>
    <cellStyle name="表体数字(小) 2 60 2" xfId="17966"/>
    <cellStyle name="表体数字(小) 2 60 2 2" xfId="15904"/>
    <cellStyle name="表体数字(小) 2 60 2 3" xfId="15908"/>
    <cellStyle name="表体数字(小) 2 60 2 4" xfId="15912"/>
    <cellStyle name="表体数字(小) 2 60 2 5" xfId="15916"/>
    <cellStyle name="表体数字(小) 2 60 2 6" xfId="17968"/>
    <cellStyle name="表体数字(小) 2 60 2 7" xfId="17970"/>
    <cellStyle name="表体数字(小) 2 60 2 8" xfId="17974"/>
    <cellStyle name="表体数字(小) 2 60 3" xfId="17976"/>
    <cellStyle name="表体数字(小) 2 60 3 2" xfId="15960"/>
    <cellStyle name="表体数字(小) 2 60 3 3" xfId="15964"/>
    <cellStyle name="表体数字(小) 2 60 3 4" xfId="15968"/>
    <cellStyle name="表体数字(小) 2 60 3 5" xfId="15972"/>
    <cellStyle name="表体数字(小) 2 60 3 6" xfId="16423"/>
    <cellStyle name="表体数字(小) 2 60 3 7" xfId="17978"/>
    <cellStyle name="表体数字(小) 2 60 3 8" xfId="17980"/>
    <cellStyle name="表体数字(小) 2 60 4" xfId="17982"/>
    <cellStyle name="表体数字(小) 2 60 5" xfId="17984"/>
    <cellStyle name="表体数字(小) 2 60 6" xfId="17986"/>
    <cellStyle name="表体数字(小) 2 60 7" xfId="17988"/>
    <cellStyle name="表体数字(小) 2 60 8" xfId="17990"/>
    <cellStyle name="表体数字(小) 2 60 9" xfId="17992"/>
    <cellStyle name="表体数字(小) 2 61" xfId="17994"/>
    <cellStyle name="表体数字(小) 2 61 10" xfId="17996"/>
    <cellStyle name="表体数字(小) 2 61 2" xfId="17998"/>
    <cellStyle name="表体数字(小) 2 61 2 2" xfId="18000"/>
    <cellStyle name="表体数字(小) 2 61 2 3" xfId="18002"/>
    <cellStyle name="表体数字(小) 2 61 2 4" xfId="18004"/>
    <cellStyle name="表体数字(小) 2 61 2 5" xfId="18008"/>
    <cellStyle name="表体数字(小) 2 61 2 6" xfId="18012"/>
    <cellStyle name="表体数字(小) 2 61 2 7" xfId="18016"/>
    <cellStyle name="表体数字(小) 2 61 2 8" xfId="18022"/>
    <cellStyle name="表体数字(小) 2 61 3" xfId="18026"/>
    <cellStyle name="表体数字(小) 2 61 3 2" xfId="18028"/>
    <cellStyle name="表体数字(小) 2 61 3 3" xfId="18030"/>
    <cellStyle name="表体数字(小) 2 61 3 4" xfId="18032"/>
    <cellStyle name="表体数字(小) 2 61 3 5" xfId="18036"/>
    <cellStyle name="表体数字(小) 2 61 3 6" xfId="18040"/>
    <cellStyle name="表体数字(小) 2 61 3 7" xfId="18044"/>
    <cellStyle name="表体数字(小) 2 61 3 8" xfId="18048"/>
    <cellStyle name="表体数字(小) 2 61 4" xfId="18052"/>
    <cellStyle name="表体数字(小) 2 61 5" xfId="18054"/>
    <cellStyle name="表体数字(小) 2 61 6" xfId="18056"/>
    <cellStyle name="表体数字(小) 2 61 7" xfId="18058"/>
    <cellStyle name="表体数字(小) 2 61 8" xfId="18060"/>
    <cellStyle name="表体数字(小) 2 61 9" xfId="18062"/>
    <cellStyle name="表体数字(小) 2 62" xfId="18064"/>
    <cellStyle name="表体数字(小) 2 62 10" xfId="8763"/>
    <cellStyle name="表体数字(小) 2 62 2" xfId="18066"/>
    <cellStyle name="表体数字(小) 2 62 2 2" xfId="6125"/>
    <cellStyle name="表体数字(小) 2 62 2 3" xfId="6130"/>
    <cellStyle name="表体数字(小) 2 62 2 4" xfId="6135"/>
    <cellStyle name="表体数字(小) 2 62 2 5" xfId="6138"/>
    <cellStyle name="表体数字(小) 2 62 2 6" xfId="18068"/>
    <cellStyle name="表体数字(小) 2 62 2 7" xfId="18070"/>
    <cellStyle name="表体数字(小) 2 62 2 8" xfId="18074"/>
    <cellStyle name="表体数字(小) 2 62 3" xfId="18076"/>
    <cellStyle name="表体数字(小) 2 62 3 2" xfId="12473"/>
    <cellStyle name="表体数字(小) 2 62 3 3" xfId="12476"/>
    <cellStyle name="表体数字(小) 2 62 3 4" xfId="12479"/>
    <cellStyle name="表体数字(小) 2 62 3 5" xfId="12482"/>
    <cellStyle name="表体数字(小) 2 62 3 6" xfId="12486"/>
    <cellStyle name="表体数字(小) 2 62 3 7" xfId="12490"/>
    <cellStyle name="表体数字(小) 2 62 3 8" xfId="12494"/>
    <cellStyle name="表体数字(小) 2 62 4" xfId="18078"/>
    <cellStyle name="表体数字(小) 2 62 5" xfId="18080"/>
    <cellStyle name="表体数字(小) 2 62 6" xfId="18082"/>
    <cellStyle name="表体数字(小) 2 62 7" xfId="15742"/>
    <cellStyle name="表体数字(小) 2 62 8" xfId="18084"/>
    <cellStyle name="表体数字(小) 2 62 9" xfId="18086"/>
    <cellStyle name="表体数字(小) 2 63" xfId="18088"/>
    <cellStyle name="表体数字(小) 2 63 10" xfId="8784"/>
    <cellStyle name="表体数字(小) 2 63 2" xfId="18090"/>
    <cellStyle name="表体数字(小) 2 63 2 2" xfId="18092"/>
    <cellStyle name="表体数字(小) 2 63 2 3" xfId="9027"/>
    <cellStyle name="表体数字(小) 2 63 2 4" xfId="18094"/>
    <cellStyle name="表体数字(小) 2 63 2 5" xfId="18096"/>
    <cellStyle name="表体数字(小) 2 63 2 6" xfId="18098"/>
    <cellStyle name="表体数字(小) 2 63 2 7" xfId="18101"/>
    <cellStyle name="表体数字(小) 2 63 2 8" xfId="18105"/>
    <cellStyle name="表体数字(小) 2 63 3" xfId="18107"/>
    <cellStyle name="表体数字(小) 2 63 3 2" xfId="18109"/>
    <cellStyle name="表体数字(小) 2 63 3 3" xfId="18111"/>
    <cellStyle name="表体数字(小) 2 63 3 4" xfId="18113"/>
    <cellStyle name="表体数字(小) 2 63 3 5" xfId="18115"/>
    <cellStyle name="表体数字(小) 2 63 3 6" xfId="162"/>
    <cellStyle name="表体数字(小) 2 63 3 7" xfId="178"/>
    <cellStyle name="表体数字(小) 2 63 3 8" xfId="3"/>
    <cellStyle name="表体数字(小) 2 63 4" xfId="18117"/>
    <cellStyle name="表体数字(小) 2 63 5" xfId="18120"/>
    <cellStyle name="表体数字(小) 2 63 6" xfId="18123"/>
    <cellStyle name="表体数字(小) 2 63 7" xfId="18126"/>
    <cellStyle name="表体数字(小) 2 63 8" xfId="18129"/>
    <cellStyle name="表体数字(小) 2 63 9" xfId="18132"/>
    <cellStyle name="表体数字(小) 2 64" xfId="18135"/>
    <cellStyle name="表体数字(小) 2 64 10" xfId="12738"/>
    <cellStyle name="表体数字(小) 2 64 2" xfId="18137"/>
    <cellStyle name="表体数字(小) 2 64 2 2" xfId="18139"/>
    <cellStyle name="表体数字(小) 2 64 2 3" xfId="18141"/>
    <cellStyle name="表体数字(小) 2 64 2 4" xfId="18143"/>
    <cellStyle name="表体数字(小) 2 64 2 5" xfId="18145"/>
    <cellStyle name="表体数字(小) 2 64 2 6" xfId="18147"/>
    <cellStyle name="表体数字(小) 2 64 2 7" xfId="18151"/>
    <cellStyle name="表体数字(小) 2 64 2 8" xfId="8909"/>
    <cellStyle name="表体数字(小) 2 64 3" xfId="18153"/>
    <cellStyle name="表体数字(小) 2 64 3 2" xfId="18155"/>
    <cellStyle name="表体数字(小) 2 64 3 3" xfId="18157"/>
    <cellStyle name="表体数字(小) 2 64 3 4" xfId="18159"/>
    <cellStyle name="表体数字(小) 2 64 3 5" xfId="18161"/>
    <cellStyle name="表体数字(小) 2 64 3 6" xfId="18163"/>
    <cellStyle name="表体数字(小) 2 64 3 7" xfId="18165"/>
    <cellStyle name="表体数字(小) 2 64 3 8" xfId="18167"/>
    <cellStyle name="表体数字(小) 2 64 4" xfId="18169"/>
    <cellStyle name="表体数字(小) 2 64 5" xfId="18172"/>
    <cellStyle name="表体数字(小) 2 64 6" xfId="18175"/>
    <cellStyle name="表体数字(小) 2 64 7" xfId="18178"/>
    <cellStyle name="表体数字(小) 2 64 8" xfId="18181"/>
    <cellStyle name="表体数字(小) 2 64 9" xfId="18184"/>
    <cellStyle name="表体数字(小) 2 65" xfId="18205"/>
    <cellStyle name="表体数字(小) 2 65 10" xfId="18207"/>
    <cellStyle name="表体数字(小) 2 65 2" xfId="18208"/>
    <cellStyle name="表体数字(小) 2 65 2 2" xfId="18209"/>
    <cellStyle name="表体数字(小) 2 65 2 3" xfId="18210"/>
    <cellStyle name="表体数字(小) 2 65 2 4" xfId="18211"/>
    <cellStyle name="表体数字(小) 2 65 2 5" xfId="18212"/>
    <cellStyle name="表体数字(小) 2 65 2 6" xfId="12012"/>
    <cellStyle name="表体数字(小) 2 65 2 7" xfId="12016"/>
    <cellStyle name="表体数字(小) 2 65 2 8" xfId="18213"/>
    <cellStyle name="表体数字(小) 2 65 3" xfId="18214"/>
    <cellStyle name="表体数字(小) 2 65 3 2" xfId="596"/>
    <cellStyle name="表体数字(小) 2 65 3 3" xfId="18215"/>
    <cellStyle name="表体数字(小) 2 65 3 4" xfId="18216"/>
    <cellStyle name="表体数字(小) 2 65 3 5" xfId="18217"/>
    <cellStyle name="表体数字(小) 2 65 3 6" xfId="12020"/>
    <cellStyle name="表体数字(小) 2 65 3 7" xfId="12022"/>
    <cellStyle name="表体数字(小) 2 65 3 8" xfId="18218"/>
    <cellStyle name="表体数字(小) 2 65 4" xfId="18219"/>
    <cellStyle name="表体数字(小) 2 65 5" xfId="18220"/>
    <cellStyle name="表体数字(小) 2 65 6" xfId="18221"/>
    <cellStyle name="表体数字(小) 2 65 7" xfId="18222"/>
    <cellStyle name="表体数字(小) 2 65 8" xfId="18223"/>
    <cellStyle name="表体数字(小) 2 65 9" xfId="4686"/>
    <cellStyle name="表体数字(小) 2 66" xfId="18224"/>
    <cellStyle name="表体数字(小) 2 66 2" xfId="18226"/>
    <cellStyle name="表体数字(小) 2 66 3" xfId="18227"/>
    <cellStyle name="表体数字(小) 2 66 4" xfId="18228"/>
    <cellStyle name="表体数字(小) 2 66 5" xfId="18229"/>
    <cellStyle name="表体数字(小) 2 66 6" xfId="18230"/>
    <cellStyle name="表体数字(小) 2 66 7" xfId="18231"/>
    <cellStyle name="表体数字(小) 2 66 8" xfId="18232"/>
    <cellStyle name="表体数字(小) 2 67" xfId="18233"/>
    <cellStyle name="表体数字(小) 2 67 2" xfId="5971"/>
    <cellStyle name="表体数字(小) 2 67 3" xfId="18235"/>
    <cellStyle name="表体数字(小) 2 67 4" xfId="18236"/>
    <cellStyle name="表体数字(小) 2 67 5" xfId="18237"/>
    <cellStyle name="表体数字(小) 2 67 6" xfId="60"/>
    <cellStyle name="表体数字(小) 2 67 7" xfId="15825"/>
    <cellStyle name="表体数字(小) 2 67 8" xfId="238"/>
    <cellStyle name="表体数字(小) 2 68" xfId="18238"/>
    <cellStyle name="表体数字(小) 2 69" xfId="18240"/>
    <cellStyle name="表体数字(小) 2 7" xfId="18242"/>
    <cellStyle name="表体数字(小) 2 7 10" xfId="18243"/>
    <cellStyle name="表体数字(小) 2 7 2" xfId="18245"/>
    <cellStyle name="表体数字(小) 2 7 2 2" xfId="18246"/>
    <cellStyle name="表体数字(小) 2 7 2 3" xfId="18247"/>
    <cellStyle name="表体数字(小) 2 7 2 4" xfId="12026"/>
    <cellStyle name="表体数字(小) 2 7 2 5" xfId="12028"/>
    <cellStyle name="表体数字(小) 2 7 2 6" xfId="18248"/>
    <cellStyle name="表体数字(小) 2 7 2 7" xfId="18249"/>
    <cellStyle name="表体数字(小) 2 7 2 8" xfId="18250"/>
    <cellStyle name="表体数字(小) 2 7 3" xfId="18251"/>
    <cellStyle name="表体数字(小) 2 7 3 2" xfId="7360"/>
    <cellStyle name="表体数字(小) 2 7 3 3" xfId="18252"/>
    <cellStyle name="表体数字(小) 2 7 3 4" xfId="12032"/>
    <cellStyle name="表体数字(小) 2 7 3 5" xfId="12034"/>
    <cellStyle name="表体数字(小) 2 7 3 6" xfId="9390"/>
    <cellStyle name="表体数字(小) 2 7 3 7" xfId="9392"/>
    <cellStyle name="表体数字(小) 2 7 3 8" xfId="18253"/>
    <cellStyle name="表体数字(小) 2 7 4" xfId="18254"/>
    <cellStyle name="表体数字(小) 2 7 5" xfId="18255"/>
    <cellStyle name="表体数字(小) 2 7 6" xfId="18256"/>
    <cellStyle name="表体数字(小) 2 7 7" xfId="18258"/>
    <cellStyle name="表体数字(小) 2 7 8" xfId="18259"/>
    <cellStyle name="表体数字(小) 2 7 9" xfId="18260"/>
    <cellStyle name="表体数字(小) 2 70" xfId="18206"/>
    <cellStyle name="表体数字(小) 2 71" xfId="18225"/>
    <cellStyle name="表体数字(小) 2 72" xfId="18234"/>
    <cellStyle name="表体数字(小) 2 73" xfId="18239"/>
    <cellStyle name="表体数字(小) 2 74" xfId="18241"/>
    <cellStyle name="表体数字(小) 2 8" xfId="18261"/>
    <cellStyle name="表体数字(小) 2 8 10" xfId="18262"/>
    <cellStyle name="表体数字(小) 2 8 2" xfId="18263"/>
    <cellStyle name="表体数字(小) 2 8 2 2" xfId="18264"/>
    <cellStyle name="表体数字(小) 2 8 2 3" xfId="18265"/>
    <cellStyle name="表体数字(小) 2 8 2 4" xfId="12072"/>
    <cellStyle name="表体数字(小) 2 8 2 5" xfId="12074"/>
    <cellStyle name="表体数字(小) 2 8 2 6" xfId="18266"/>
    <cellStyle name="表体数字(小) 2 8 2 7" xfId="18267"/>
    <cellStyle name="表体数字(小) 2 8 2 8" xfId="18268"/>
    <cellStyle name="表体数字(小) 2 8 3" xfId="18269"/>
    <cellStyle name="表体数字(小) 2 8 3 2" xfId="18270"/>
    <cellStyle name="表体数字(小) 2 8 3 3" xfId="18271"/>
    <cellStyle name="表体数字(小) 2 8 3 4" xfId="12077"/>
    <cellStyle name="表体数字(小) 2 8 3 5" xfId="12079"/>
    <cellStyle name="表体数字(小) 2 8 3 6" xfId="18272"/>
    <cellStyle name="表体数字(小) 2 8 3 7" xfId="18273"/>
    <cellStyle name="表体数字(小) 2 8 3 8" xfId="18274"/>
    <cellStyle name="表体数字(小) 2 8 4" xfId="18275"/>
    <cellStyle name="表体数字(小) 2 8 5" xfId="18276"/>
    <cellStyle name="表体数字(小) 2 8 6" xfId="18277"/>
    <cellStyle name="表体数字(小) 2 8 7" xfId="18279"/>
    <cellStyle name="表体数字(小) 2 8 8" xfId="18281"/>
    <cellStyle name="表体数字(小) 2 8 9" xfId="18283"/>
    <cellStyle name="表体数字(小) 2 9" xfId="18284"/>
    <cellStyle name="表体数字(小) 2 9 10" xfId="14980"/>
    <cellStyle name="表体数字(小) 2 9 2" xfId="18285"/>
    <cellStyle name="表体数字(小) 2 9 2 2" xfId="18286"/>
    <cellStyle name="表体数字(小) 2 9 2 3" xfId="18287"/>
    <cellStyle name="表体数字(小) 2 9 2 4" xfId="18288"/>
    <cellStyle name="表体数字(小) 2 9 2 5" xfId="18289"/>
    <cellStyle name="表体数字(小) 2 9 2 6" xfId="2248"/>
    <cellStyle name="表体数字(小) 2 9 2 7" xfId="2250"/>
    <cellStyle name="表体数字(小) 2 9 2 8" xfId="18290"/>
    <cellStyle name="表体数字(小) 2 9 3" xfId="18291"/>
    <cellStyle name="表体数字(小) 2 9 3 2" xfId="18292"/>
    <cellStyle name="表体数字(小) 2 9 3 3" xfId="18293"/>
    <cellStyle name="表体数字(小) 2 9 3 4" xfId="18294"/>
    <cellStyle name="表体数字(小) 2 9 3 5" xfId="18295"/>
    <cellStyle name="表体数字(小) 2 9 3 6" xfId="18296"/>
    <cellStyle name="表体数字(小) 2 9 3 7" xfId="18297"/>
    <cellStyle name="表体数字(小) 2 9 3 8" xfId="18298"/>
    <cellStyle name="表体数字(小) 2 9 4" xfId="18299"/>
    <cellStyle name="表体数字(小) 2 9 5" xfId="18300"/>
    <cellStyle name="表体数字(小) 2 9 6" xfId="18301"/>
    <cellStyle name="表体数字(小) 2 9 7" xfId="18302"/>
    <cellStyle name="表体数字(小) 2 9 8" xfId="18303"/>
    <cellStyle name="表体数字(小) 2 9 9" xfId="18304"/>
    <cellStyle name="表体数字(小) 20" xfId="16639"/>
    <cellStyle name="表体数字(小) 20 10" xfId="16641"/>
    <cellStyle name="表体数字(小) 20 2" xfId="16645"/>
    <cellStyle name="表体数字(小) 20 2 2" xfId="16647"/>
    <cellStyle name="表体数字(小) 20 2 3" xfId="16649"/>
    <cellStyle name="表体数字(小) 20 2 4" xfId="16651"/>
    <cellStyle name="表体数字(小) 20 2 5" xfId="16653"/>
    <cellStyle name="表体数字(小) 20 2 6" xfId="16655"/>
    <cellStyle name="表体数字(小) 20 2 7" xfId="16657"/>
    <cellStyle name="表体数字(小) 20 2 8" xfId="16659"/>
    <cellStyle name="表体数字(小) 20 3" xfId="16661"/>
    <cellStyle name="表体数字(小) 20 3 2" xfId="16663"/>
    <cellStyle name="表体数字(小) 20 3 3" xfId="16665"/>
    <cellStyle name="表体数字(小) 20 3 4" xfId="16667"/>
    <cellStyle name="表体数字(小) 20 3 5" xfId="16669"/>
    <cellStyle name="表体数字(小) 20 3 6" xfId="16671"/>
    <cellStyle name="表体数字(小) 20 3 7" xfId="16673"/>
    <cellStyle name="表体数字(小) 20 3 8" xfId="16675"/>
    <cellStyle name="表体数字(小) 20 4" xfId="16677"/>
    <cellStyle name="表体数字(小) 20 5" xfId="16679"/>
    <cellStyle name="表体数字(小) 20 6" xfId="16683"/>
    <cellStyle name="表体数字(小) 20 7" xfId="16687"/>
    <cellStyle name="表体数字(小) 20 8" xfId="16691"/>
    <cellStyle name="表体数字(小) 20 9" xfId="13415"/>
    <cellStyle name="表体数字(小) 21" xfId="16695"/>
    <cellStyle name="表体数字(小) 21 10" xfId="16697"/>
    <cellStyle name="表体数字(小) 21 2" xfId="16699"/>
    <cellStyle name="表体数字(小) 21 2 2" xfId="16701"/>
    <cellStyle name="表体数字(小) 21 2 3" xfId="16703"/>
    <cellStyle name="表体数字(小) 21 2 4" xfId="16705"/>
    <cellStyle name="表体数字(小) 21 2 5" xfId="16707"/>
    <cellStyle name="表体数字(小) 21 2 6" xfId="16709"/>
    <cellStyle name="表体数字(小) 21 2 7" xfId="16711"/>
    <cellStyle name="表体数字(小) 21 2 8" xfId="16713"/>
    <cellStyle name="表体数字(小) 21 3" xfId="16715"/>
    <cellStyle name="表体数字(小) 21 3 2" xfId="16717"/>
    <cellStyle name="表体数字(小) 21 3 3" xfId="16719"/>
    <cellStyle name="表体数字(小) 21 3 4" xfId="16721"/>
    <cellStyle name="表体数字(小) 21 3 5" xfId="16723"/>
    <cellStyle name="表体数字(小) 21 3 6" xfId="16725"/>
    <cellStyle name="表体数字(小) 21 3 7" xfId="16727"/>
    <cellStyle name="表体数字(小) 21 3 8" xfId="16729"/>
    <cellStyle name="表体数字(小) 21 4" xfId="16731"/>
    <cellStyle name="表体数字(小) 21 5" xfId="16733"/>
    <cellStyle name="表体数字(小) 21 6" xfId="16737"/>
    <cellStyle name="表体数字(小) 21 7" xfId="16741"/>
    <cellStyle name="表体数字(小) 21 8" xfId="16745"/>
    <cellStyle name="表体数字(小) 21 9" xfId="10857"/>
    <cellStyle name="表体数字(小) 22" xfId="16749"/>
    <cellStyle name="表体数字(小) 22 10" xfId="16751"/>
    <cellStyle name="表体数字(小) 22 2" xfId="16753"/>
    <cellStyle name="表体数字(小) 22 2 2" xfId="10432"/>
    <cellStyle name="表体数字(小) 22 2 3" xfId="10456"/>
    <cellStyle name="表体数字(小) 22 2 4" xfId="10459"/>
    <cellStyle name="表体数字(小) 22 2 5" xfId="10462"/>
    <cellStyle name="表体数字(小) 22 2 6" xfId="10465"/>
    <cellStyle name="表体数字(小) 22 2 7" xfId="10468"/>
    <cellStyle name="表体数字(小) 22 2 8" xfId="10471"/>
    <cellStyle name="表体数字(小) 22 3" xfId="16755"/>
    <cellStyle name="表体数字(小) 22 3 2" xfId="257"/>
    <cellStyle name="表体数字(小) 22 3 3" xfId="16757"/>
    <cellStyle name="表体数字(小) 22 3 4" xfId="16759"/>
    <cellStyle name="表体数字(小) 22 3 5" xfId="16761"/>
    <cellStyle name="表体数字(小) 22 3 6" xfId="16763"/>
    <cellStyle name="表体数字(小) 22 3 7" xfId="16765"/>
    <cellStyle name="表体数字(小) 22 3 8" xfId="16767"/>
    <cellStyle name="表体数字(小) 22 4" xfId="16769"/>
    <cellStyle name="表体数字(小) 22 5" xfId="16772"/>
    <cellStyle name="表体数字(小) 22 6" xfId="16775"/>
    <cellStyle name="表体数字(小) 22 7" xfId="16778"/>
    <cellStyle name="表体数字(小) 22 8" xfId="16781"/>
    <cellStyle name="表体数字(小) 22 9" xfId="10882"/>
    <cellStyle name="表体数字(小) 23" xfId="16784"/>
    <cellStyle name="表体数字(小) 23 10" xfId="16786"/>
    <cellStyle name="表体数字(小) 23 2" xfId="16788"/>
    <cellStyle name="表体数字(小) 23 2 2" xfId="16790"/>
    <cellStyle name="表体数字(小) 23 2 3" xfId="16792"/>
    <cellStyle name="表体数字(小) 23 2 4" xfId="16794"/>
    <cellStyle name="表体数字(小) 23 2 5" xfId="16796"/>
    <cellStyle name="表体数字(小) 23 2 6" xfId="16798"/>
    <cellStyle name="表体数字(小) 23 2 7" xfId="16800"/>
    <cellStyle name="表体数字(小) 23 2 8" xfId="16802"/>
    <cellStyle name="表体数字(小) 23 3" xfId="16804"/>
    <cellStyle name="表体数字(小) 23 3 2" xfId="16806"/>
    <cellStyle name="表体数字(小) 23 3 3" xfId="9789"/>
    <cellStyle name="表体数字(小) 23 3 4" xfId="9792"/>
    <cellStyle name="表体数字(小) 23 3 5" xfId="16808"/>
    <cellStyle name="表体数字(小) 23 3 6" xfId="16810"/>
    <cellStyle name="表体数字(小) 23 3 7" xfId="16812"/>
    <cellStyle name="表体数字(小) 23 3 8" xfId="16814"/>
    <cellStyle name="表体数字(小) 23 4" xfId="16816"/>
    <cellStyle name="表体数字(小) 23 5" xfId="16819"/>
    <cellStyle name="表体数字(小) 23 6" xfId="16822"/>
    <cellStyle name="表体数字(小) 23 7" xfId="16825"/>
    <cellStyle name="表体数字(小) 23 8" xfId="16828"/>
    <cellStyle name="表体数字(小) 23 9" xfId="16831"/>
    <cellStyle name="表体数字(小) 24" xfId="16834"/>
    <cellStyle name="表体数字(小) 24 10" xfId="13383"/>
    <cellStyle name="表体数字(小) 24 2" xfId="9282"/>
    <cellStyle name="表体数字(小) 24 2 2" xfId="16836"/>
    <cellStyle name="表体数字(小) 24 2 3" xfId="16838"/>
    <cellStyle name="表体数字(小) 24 2 4" xfId="16840"/>
    <cellStyle name="表体数字(小) 24 2 5" xfId="16842"/>
    <cellStyle name="表体数字(小) 24 2 6" xfId="16844"/>
    <cellStyle name="表体数字(小) 24 2 7" xfId="16846"/>
    <cellStyle name="表体数字(小) 24 2 8" xfId="16848"/>
    <cellStyle name="表体数字(小) 24 3" xfId="9286"/>
    <cellStyle name="表体数字(小) 24 3 2" xfId="16850"/>
    <cellStyle name="表体数字(小) 24 3 3" xfId="16852"/>
    <cellStyle name="表体数字(小) 24 3 4" xfId="16854"/>
    <cellStyle name="表体数字(小) 24 3 5" xfId="16856"/>
    <cellStyle name="表体数字(小) 24 3 6" xfId="16858"/>
    <cellStyle name="表体数字(小) 24 3 7" xfId="16860"/>
    <cellStyle name="表体数字(小) 24 3 8" xfId="16862"/>
    <cellStyle name="表体数字(小) 24 4" xfId="9290"/>
    <cellStyle name="表体数字(小) 24 5" xfId="9294"/>
    <cellStyle name="表体数字(小) 24 6" xfId="9308"/>
    <cellStyle name="表体数字(小) 24 7" xfId="9311"/>
    <cellStyle name="表体数字(小) 24 8" xfId="9314"/>
    <cellStyle name="表体数字(小) 24 9" xfId="9317"/>
    <cellStyle name="表体数字(小) 25" xfId="18305"/>
    <cellStyle name="表体数字(小) 25 10" xfId="18307"/>
    <cellStyle name="表体数字(小) 25 2" xfId="18311"/>
    <cellStyle name="表体数字(小) 25 2 2" xfId="18313"/>
    <cellStyle name="表体数字(小) 25 2 3" xfId="18315"/>
    <cellStyle name="表体数字(小) 25 2 4" xfId="18317"/>
    <cellStyle name="表体数字(小) 25 2 5" xfId="18319"/>
    <cellStyle name="表体数字(小) 25 2 6" xfId="18321"/>
    <cellStyle name="表体数字(小) 25 2 7" xfId="18323"/>
    <cellStyle name="表体数字(小) 25 2 8" xfId="18325"/>
    <cellStyle name="表体数字(小) 25 3" xfId="18327"/>
    <cellStyle name="表体数字(小) 25 3 2" xfId="18329"/>
    <cellStyle name="表体数字(小) 25 3 3" xfId="18331"/>
    <cellStyle name="表体数字(小) 25 3 4" xfId="18333"/>
    <cellStyle name="表体数字(小) 25 3 5" xfId="18335"/>
    <cellStyle name="表体数字(小) 25 3 6" xfId="18337"/>
    <cellStyle name="表体数字(小) 25 3 7" xfId="18339"/>
    <cellStyle name="表体数字(小) 25 3 8" xfId="18341"/>
    <cellStyle name="表体数字(小) 25 4" xfId="18343"/>
    <cellStyle name="表体数字(小) 25 5" xfId="18345"/>
    <cellStyle name="表体数字(小) 25 6" xfId="18347"/>
    <cellStyle name="表体数字(小) 25 7" xfId="18349"/>
    <cellStyle name="表体数字(小) 25 8" xfId="18351"/>
    <cellStyle name="表体数字(小) 25 9" xfId="18355"/>
    <cellStyle name="表体数字(小) 26" xfId="18359"/>
    <cellStyle name="表体数字(小) 26 10" xfId="18361"/>
    <cellStyle name="表体数字(小) 26 2" xfId="18363"/>
    <cellStyle name="表体数字(小) 26 2 2" xfId="18365"/>
    <cellStyle name="表体数字(小) 26 2 3" xfId="18368"/>
    <cellStyle name="表体数字(小) 26 2 4" xfId="18371"/>
    <cellStyle name="表体数字(小) 26 2 5" xfId="18374"/>
    <cellStyle name="表体数字(小) 26 2 6" xfId="18377"/>
    <cellStyle name="表体数字(小) 26 2 7" xfId="18380"/>
    <cellStyle name="表体数字(小) 26 2 8" xfId="18383"/>
    <cellStyle name="表体数字(小) 26 3" xfId="18386"/>
    <cellStyle name="表体数字(小) 26 3 2" xfId="18388"/>
    <cellStyle name="表体数字(小) 26 3 3" xfId="18391"/>
    <cellStyle name="表体数字(小) 26 3 4" xfId="18394"/>
    <cellStyle name="表体数字(小) 26 3 5" xfId="18397"/>
    <cellStyle name="表体数字(小) 26 3 6" xfId="18400"/>
    <cellStyle name="表体数字(小) 26 3 7" xfId="18403"/>
    <cellStyle name="表体数字(小) 26 3 8" xfId="18406"/>
    <cellStyle name="表体数字(小) 26 4" xfId="18409"/>
    <cellStyle name="表体数字(小) 26 5" xfId="18411"/>
    <cellStyle name="表体数字(小) 26 6" xfId="18413"/>
    <cellStyle name="表体数字(小) 26 7" xfId="11640"/>
    <cellStyle name="表体数字(小) 26 8" xfId="18415"/>
    <cellStyle name="表体数字(小) 26 9" xfId="18419"/>
    <cellStyle name="表体数字(小) 27" xfId="18423"/>
    <cellStyle name="表体数字(小) 27 10" xfId="18425"/>
    <cellStyle name="表体数字(小) 27 2" xfId="18427"/>
    <cellStyle name="表体数字(小) 27 2 2" xfId="18429"/>
    <cellStyle name="表体数字(小) 27 2 3" xfId="18432"/>
    <cellStyle name="表体数字(小) 27 2 4" xfId="18435"/>
    <cellStyle name="表体数字(小) 27 2 5" xfId="18438"/>
    <cellStyle name="表体数字(小) 27 2 6" xfId="18441"/>
    <cellStyle name="表体数字(小) 27 2 7" xfId="18444"/>
    <cellStyle name="表体数字(小) 27 2 8" xfId="18447"/>
    <cellStyle name="表体数字(小) 27 3" xfId="18449"/>
    <cellStyle name="表体数字(小) 27 3 2" xfId="18451"/>
    <cellStyle name="表体数字(小) 27 3 3" xfId="18454"/>
    <cellStyle name="表体数字(小) 27 3 4" xfId="18457"/>
    <cellStyle name="表体数字(小) 27 3 5" xfId="18460"/>
    <cellStyle name="表体数字(小) 27 3 6" xfId="18463"/>
    <cellStyle name="表体数字(小) 27 3 7" xfId="18466"/>
    <cellStyle name="表体数字(小) 27 3 8" xfId="18469"/>
    <cellStyle name="表体数字(小) 27 4" xfId="18471"/>
    <cellStyle name="表体数字(小) 27 5" xfId="18473"/>
    <cellStyle name="表体数字(小) 27 6" xfId="18475"/>
    <cellStyle name="表体数字(小) 27 7" xfId="18477"/>
    <cellStyle name="表体数字(小) 27 8" xfId="18479"/>
    <cellStyle name="表体数字(小) 27 9" xfId="18481"/>
    <cellStyle name="表体数字(小) 28" xfId="18483"/>
    <cellStyle name="表体数字(小) 28 10" xfId="18485"/>
    <cellStyle name="表体数字(小) 28 2" xfId="18487"/>
    <cellStyle name="表体数字(小) 28 2 2" xfId="18489"/>
    <cellStyle name="表体数字(小) 28 2 3" xfId="16455"/>
    <cellStyle name="表体数字(小) 28 2 4" xfId="16466"/>
    <cellStyle name="表体数字(小) 28 2 5" xfId="16487"/>
    <cellStyle name="表体数字(小) 28 2 6" xfId="16491"/>
    <cellStyle name="表体数字(小) 28 2 7" xfId="16495"/>
    <cellStyle name="表体数字(小) 28 2 8" xfId="16499"/>
    <cellStyle name="表体数字(小) 28 3" xfId="18492"/>
    <cellStyle name="表体数字(小) 28 3 2" xfId="18494"/>
    <cellStyle name="表体数字(小) 28 3 3" xfId="18497"/>
    <cellStyle name="表体数字(小) 28 3 4" xfId="18500"/>
    <cellStyle name="表体数字(小) 28 3 5" xfId="18503"/>
    <cellStyle name="表体数字(小) 28 3 6" xfId="18506"/>
    <cellStyle name="表体数字(小) 28 3 7" xfId="18509"/>
    <cellStyle name="表体数字(小) 28 3 8" xfId="18512"/>
    <cellStyle name="表体数字(小) 28 4" xfId="18514"/>
    <cellStyle name="表体数字(小) 28 5" xfId="18516"/>
    <cellStyle name="表体数字(小) 28 6" xfId="18518"/>
    <cellStyle name="表体数字(小) 28 7" xfId="18520"/>
    <cellStyle name="表体数字(小) 28 8" xfId="18522"/>
    <cellStyle name="表体数字(小) 28 9" xfId="18524"/>
    <cellStyle name="表体数字(小) 29" xfId="18526"/>
    <cellStyle name="表体数字(小) 29 10" xfId="13402"/>
    <cellStyle name="表体数字(小) 29 2" xfId="18528"/>
    <cellStyle name="表体数字(小) 29 2 2" xfId="18532"/>
    <cellStyle name="表体数字(小) 29 2 3" xfId="18537"/>
    <cellStyle name="表体数字(小) 29 2 4" xfId="18542"/>
    <cellStyle name="表体数字(小) 29 2 5" xfId="18547"/>
    <cellStyle name="表体数字(小) 29 2 6" xfId="18552"/>
    <cellStyle name="表体数字(小) 29 2 7" xfId="18555"/>
    <cellStyle name="表体数字(小) 29 2 8" xfId="18558"/>
    <cellStyle name="表体数字(小) 29 3" xfId="18560"/>
    <cellStyle name="表体数字(小) 29 3 2" xfId="18564"/>
    <cellStyle name="表体数字(小) 29 3 3" xfId="18569"/>
    <cellStyle name="表体数字(小) 29 3 4" xfId="18574"/>
    <cellStyle name="表体数字(小) 29 3 5" xfId="18579"/>
    <cellStyle name="表体数字(小) 29 3 6" xfId="18584"/>
    <cellStyle name="表体数字(小) 29 3 7" xfId="18588"/>
    <cellStyle name="表体数字(小) 29 3 8" xfId="18591"/>
    <cellStyle name="表体数字(小) 29 4" xfId="18593"/>
    <cellStyle name="表体数字(小) 29 5" xfId="18595"/>
    <cellStyle name="表体数字(小) 29 6" xfId="18597"/>
    <cellStyle name="表体数字(小) 29 7" xfId="18599"/>
    <cellStyle name="表体数字(小) 29 8" xfId="18601"/>
    <cellStyle name="表体数字(小) 29 9" xfId="18603"/>
    <cellStyle name="表体数字(小) 3" xfId="18605"/>
    <cellStyle name="表体数字(小) 3 10" xfId="18606"/>
    <cellStyle name="表体数字(小) 3 2" xfId="18607"/>
    <cellStyle name="表体数字(小) 3 2 2" xfId="18608"/>
    <cellStyle name="表体数字(小) 3 2 3" xfId="18611"/>
    <cellStyle name="表体数字(小) 3 2 4" xfId="18614"/>
    <cellStyle name="表体数字(小) 3 2 5" xfId="18617"/>
    <cellStyle name="表体数字(小) 3 2 6" xfId="18620"/>
    <cellStyle name="表体数字(小) 3 2 7" xfId="18622"/>
    <cellStyle name="表体数字(小) 3 2 8" xfId="18623"/>
    <cellStyle name="表体数字(小) 3 3" xfId="18624"/>
    <cellStyle name="表体数字(小) 3 3 2" xfId="18625"/>
    <cellStyle name="表体数字(小) 3 3 3" xfId="18628"/>
    <cellStyle name="表体数字(小) 3 3 4" xfId="18631"/>
    <cellStyle name="表体数字(小) 3 3 5" xfId="18634"/>
    <cellStyle name="表体数字(小) 3 3 6" xfId="18637"/>
    <cellStyle name="表体数字(小) 3 3 7" xfId="18638"/>
    <cellStyle name="表体数字(小) 3 3 8" xfId="18639"/>
    <cellStyle name="表体数字(小) 3 4" xfId="18640"/>
    <cellStyle name="表体数字(小) 3 5" xfId="18641"/>
    <cellStyle name="表体数字(小) 3 6" xfId="18642"/>
    <cellStyle name="表体数字(小) 3 7" xfId="18643"/>
    <cellStyle name="表体数字(小) 3 8" xfId="18644"/>
    <cellStyle name="表体数字(小) 3 9" xfId="18645"/>
    <cellStyle name="表体数字(小) 30" xfId="18306"/>
    <cellStyle name="表体数字(小) 30 10" xfId="18308"/>
    <cellStyle name="表体数字(小) 30 2" xfId="18312"/>
    <cellStyle name="表体数字(小) 30 2 2" xfId="18314"/>
    <cellStyle name="表体数字(小) 30 2 3" xfId="18316"/>
    <cellStyle name="表体数字(小) 30 2 4" xfId="18318"/>
    <cellStyle name="表体数字(小) 30 2 5" xfId="18320"/>
    <cellStyle name="表体数字(小) 30 2 6" xfId="18322"/>
    <cellStyle name="表体数字(小) 30 2 7" xfId="18324"/>
    <cellStyle name="表体数字(小) 30 2 8" xfId="18326"/>
    <cellStyle name="表体数字(小) 30 3" xfId="18328"/>
    <cellStyle name="表体数字(小) 30 3 2" xfId="18330"/>
    <cellStyle name="表体数字(小) 30 3 3" xfId="18332"/>
    <cellStyle name="表体数字(小) 30 3 4" xfId="18334"/>
    <cellStyle name="表体数字(小) 30 3 5" xfId="18336"/>
    <cellStyle name="表体数字(小) 30 3 6" xfId="18338"/>
    <cellStyle name="表体数字(小) 30 3 7" xfId="18340"/>
    <cellStyle name="表体数字(小) 30 3 8" xfId="18342"/>
    <cellStyle name="表体数字(小) 30 4" xfId="18344"/>
    <cellStyle name="表体数字(小) 30 5" xfId="18346"/>
    <cellStyle name="表体数字(小) 30 6" xfId="18348"/>
    <cellStyle name="表体数字(小) 30 7" xfId="18350"/>
    <cellStyle name="表体数字(小) 30 8" xfId="18352"/>
    <cellStyle name="表体数字(小) 30 9" xfId="18356"/>
    <cellStyle name="表体数字(小) 31" xfId="18360"/>
    <cellStyle name="表体数字(小) 31 10" xfId="18362"/>
    <cellStyle name="表体数字(小) 31 2" xfId="18364"/>
    <cellStyle name="表体数字(小) 31 2 2" xfId="18366"/>
    <cellStyle name="表体数字(小) 31 2 3" xfId="18369"/>
    <cellStyle name="表体数字(小) 31 2 4" xfId="18372"/>
    <cellStyle name="表体数字(小) 31 2 5" xfId="18375"/>
    <cellStyle name="表体数字(小) 31 2 6" xfId="18378"/>
    <cellStyle name="表体数字(小) 31 2 7" xfId="18381"/>
    <cellStyle name="表体数字(小) 31 2 8" xfId="18384"/>
    <cellStyle name="表体数字(小) 31 3" xfId="18387"/>
    <cellStyle name="表体数字(小) 31 3 2" xfId="18389"/>
    <cellStyle name="表体数字(小) 31 3 3" xfId="18392"/>
    <cellStyle name="表体数字(小) 31 3 4" xfId="18395"/>
    <cellStyle name="表体数字(小) 31 3 5" xfId="18398"/>
    <cellStyle name="表体数字(小) 31 3 6" xfId="18401"/>
    <cellStyle name="表体数字(小) 31 3 7" xfId="18404"/>
    <cellStyle name="表体数字(小) 31 3 8" xfId="18407"/>
    <cellStyle name="表体数字(小) 31 4" xfId="18410"/>
    <cellStyle name="表体数字(小) 31 5" xfId="18412"/>
    <cellStyle name="表体数字(小) 31 6" xfId="18414"/>
    <cellStyle name="表体数字(小) 31 7" xfId="11641"/>
    <cellStyle name="表体数字(小) 31 8" xfId="18416"/>
    <cellStyle name="表体数字(小) 31 9" xfId="18420"/>
    <cellStyle name="表体数字(小) 32" xfId="18424"/>
    <cellStyle name="表体数字(小) 32 10" xfId="18426"/>
    <cellStyle name="表体数字(小) 32 2" xfId="18428"/>
    <cellStyle name="表体数字(小) 32 2 2" xfId="18430"/>
    <cellStyle name="表体数字(小) 32 2 3" xfId="18433"/>
    <cellStyle name="表体数字(小) 32 2 4" xfId="18436"/>
    <cellStyle name="表体数字(小) 32 2 5" xfId="18439"/>
    <cellStyle name="表体数字(小) 32 2 6" xfId="18442"/>
    <cellStyle name="表体数字(小) 32 2 7" xfId="18445"/>
    <cellStyle name="表体数字(小) 32 2 8" xfId="18448"/>
    <cellStyle name="表体数字(小) 32 3" xfId="18450"/>
    <cellStyle name="表体数字(小) 32 3 2" xfId="18452"/>
    <cellStyle name="表体数字(小) 32 3 3" xfId="18455"/>
    <cellStyle name="表体数字(小) 32 3 4" xfId="18458"/>
    <cellStyle name="表体数字(小) 32 3 5" xfId="18461"/>
    <cellStyle name="表体数字(小) 32 3 6" xfId="18464"/>
    <cellStyle name="表体数字(小) 32 3 7" xfId="18467"/>
    <cellStyle name="表体数字(小) 32 3 8" xfId="18470"/>
    <cellStyle name="表体数字(小) 32 4" xfId="18472"/>
    <cellStyle name="表体数字(小) 32 5" xfId="18474"/>
    <cellStyle name="表体数字(小) 32 6" xfId="18476"/>
    <cellStyle name="表体数字(小) 32 7" xfId="18478"/>
    <cellStyle name="表体数字(小) 32 8" xfId="18480"/>
    <cellStyle name="表体数字(小) 32 9" xfId="18482"/>
    <cellStyle name="表体数字(小) 33" xfId="18484"/>
    <cellStyle name="表体数字(小) 33 10" xfId="18486"/>
    <cellStyle name="表体数字(小) 33 2" xfId="18488"/>
    <cellStyle name="表体数字(小) 33 2 2" xfId="18490"/>
    <cellStyle name="表体数字(小) 33 2 3" xfId="16456"/>
    <cellStyle name="表体数字(小) 33 2 4" xfId="16467"/>
    <cellStyle name="表体数字(小) 33 2 5" xfId="16488"/>
    <cellStyle name="表体数字(小) 33 2 6" xfId="16492"/>
    <cellStyle name="表体数字(小) 33 2 7" xfId="16496"/>
    <cellStyle name="表体数字(小) 33 2 8" xfId="16500"/>
    <cellStyle name="表体数字(小) 33 3" xfId="18493"/>
    <cellStyle name="表体数字(小) 33 3 2" xfId="18495"/>
    <cellStyle name="表体数字(小) 33 3 3" xfId="18498"/>
    <cellStyle name="表体数字(小) 33 3 4" xfId="18501"/>
    <cellStyle name="表体数字(小) 33 3 5" xfId="18504"/>
    <cellStyle name="表体数字(小) 33 3 6" xfId="18507"/>
    <cellStyle name="表体数字(小) 33 3 7" xfId="18510"/>
    <cellStyle name="表体数字(小) 33 3 8" xfId="18513"/>
    <cellStyle name="表体数字(小) 33 4" xfId="18515"/>
    <cellStyle name="表体数字(小) 33 5" xfId="18517"/>
    <cellStyle name="表体数字(小) 33 6" xfId="18519"/>
    <cellStyle name="表体数字(小) 33 7" xfId="18521"/>
    <cellStyle name="表体数字(小) 33 8" xfId="18523"/>
    <cellStyle name="表体数字(小) 33 9" xfId="18525"/>
    <cellStyle name="表体数字(小) 34" xfId="18527"/>
    <cellStyle name="表体数字(小) 34 10" xfId="13403"/>
    <cellStyle name="表体数字(小) 34 2" xfId="18529"/>
    <cellStyle name="表体数字(小) 34 2 2" xfId="18533"/>
    <cellStyle name="表体数字(小) 34 2 3" xfId="18538"/>
    <cellStyle name="表体数字(小) 34 2 4" xfId="18543"/>
    <cellStyle name="表体数字(小) 34 2 5" xfId="18548"/>
    <cellStyle name="表体数字(小) 34 2 6" xfId="18553"/>
    <cellStyle name="表体数字(小) 34 2 7" xfId="18556"/>
    <cellStyle name="表体数字(小) 34 2 8" xfId="18559"/>
    <cellStyle name="表体数字(小) 34 3" xfId="18561"/>
    <cellStyle name="表体数字(小) 34 3 2" xfId="18565"/>
    <cellStyle name="表体数字(小) 34 3 3" xfId="18570"/>
    <cellStyle name="表体数字(小) 34 3 4" xfId="18575"/>
    <cellStyle name="表体数字(小) 34 3 5" xfId="18580"/>
    <cellStyle name="表体数字(小) 34 3 6" xfId="18585"/>
    <cellStyle name="表体数字(小) 34 3 7" xfId="18589"/>
    <cellStyle name="表体数字(小) 34 3 8" xfId="18592"/>
    <cellStyle name="表体数字(小) 34 4" xfId="18594"/>
    <cellStyle name="表体数字(小) 34 5" xfId="18596"/>
    <cellStyle name="表体数字(小) 34 6" xfId="18598"/>
    <cellStyle name="表体数字(小) 34 7" xfId="18600"/>
    <cellStyle name="表体数字(小) 34 8" xfId="18602"/>
    <cellStyle name="表体数字(小) 34 9" xfId="18604"/>
    <cellStyle name="表体数字(小) 35" xfId="18646"/>
    <cellStyle name="表体数字(小) 35 10" xfId="18648"/>
    <cellStyle name="表体数字(小) 35 2" xfId="18652"/>
    <cellStyle name="表体数字(小) 35 2 2" xfId="18658"/>
    <cellStyle name="表体数字(小) 35 2 3" xfId="18661"/>
    <cellStyle name="表体数字(小) 35 2 4" xfId="18664"/>
    <cellStyle name="表体数字(小) 35 2 5" xfId="18667"/>
    <cellStyle name="表体数字(小) 35 2 6" xfId="18670"/>
    <cellStyle name="表体数字(小) 35 2 7" xfId="18673"/>
    <cellStyle name="表体数字(小) 35 2 8" xfId="18676"/>
    <cellStyle name="表体数字(小) 35 3" xfId="18678"/>
    <cellStyle name="表体数字(小) 35 3 2" xfId="18682"/>
    <cellStyle name="表体数字(小) 35 3 3" xfId="18685"/>
    <cellStyle name="表体数字(小) 35 3 4" xfId="18688"/>
    <cellStyle name="表体数字(小) 35 3 5" xfId="18691"/>
    <cellStyle name="表体数字(小) 35 3 6" xfId="18694"/>
    <cellStyle name="表体数字(小) 35 3 7" xfId="18697"/>
    <cellStyle name="表体数字(小) 35 3 8" xfId="18700"/>
    <cellStyle name="表体数字(小) 35 4" xfId="18702"/>
    <cellStyle name="表体数字(小) 35 5" xfId="18704"/>
    <cellStyle name="表体数字(小) 35 6" xfId="18706"/>
    <cellStyle name="表体数字(小) 35 7" xfId="18708"/>
    <cellStyle name="表体数字(小) 35 8" xfId="18710"/>
    <cellStyle name="表体数字(小) 35 9" xfId="18712"/>
    <cellStyle name="表体数字(小) 36" xfId="18714"/>
    <cellStyle name="表体数字(小) 36 10" xfId="18716"/>
    <cellStyle name="表体数字(小) 36 2" xfId="18718"/>
    <cellStyle name="表体数字(小) 36 2 2" xfId="18720"/>
    <cellStyle name="表体数字(小) 36 2 3" xfId="18723"/>
    <cellStyle name="表体数字(小) 36 2 4" xfId="18726"/>
    <cellStyle name="表体数字(小) 36 2 5" xfId="18729"/>
    <cellStyle name="表体数字(小) 36 2 6" xfId="18732"/>
    <cellStyle name="表体数字(小) 36 2 7" xfId="18735"/>
    <cellStyle name="表体数字(小) 36 2 8" xfId="18738"/>
    <cellStyle name="表体数字(小) 36 3" xfId="18740"/>
    <cellStyle name="表体数字(小) 36 3 2" xfId="18742"/>
    <cellStyle name="表体数字(小) 36 3 3" xfId="18745"/>
    <cellStyle name="表体数字(小) 36 3 4" xfId="18748"/>
    <cellStyle name="表体数字(小) 36 3 5" xfId="18751"/>
    <cellStyle name="表体数字(小) 36 3 6" xfId="18754"/>
    <cellStyle name="表体数字(小) 36 3 7" xfId="18758"/>
    <cellStyle name="表体数字(小) 36 3 8" xfId="18762"/>
    <cellStyle name="表体数字(小) 36 4" xfId="18764"/>
    <cellStyle name="表体数字(小) 36 5" xfId="18766"/>
    <cellStyle name="表体数字(小) 36 6" xfId="18768"/>
    <cellStyle name="表体数字(小) 36 7" xfId="18770"/>
    <cellStyle name="表体数字(小) 36 8" xfId="18772"/>
    <cellStyle name="表体数字(小) 36 9" xfId="18774"/>
    <cellStyle name="表体数字(小) 37" xfId="18776"/>
    <cellStyle name="表体数字(小) 37 10" xfId="18778"/>
    <cellStyle name="表体数字(小) 37 2" xfId="18780"/>
    <cellStyle name="表体数字(小) 37 2 2" xfId="18782"/>
    <cellStyle name="表体数字(小) 37 2 3" xfId="18785"/>
    <cellStyle name="表体数字(小) 37 2 4" xfId="18788"/>
    <cellStyle name="表体数字(小) 37 2 5" xfId="18791"/>
    <cellStyle name="表体数字(小) 37 2 6" xfId="18794"/>
    <cellStyle name="表体数字(小) 37 2 7" xfId="18797"/>
    <cellStyle name="表体数字(小) 37 2 8" xfId="18800"/>
    <cellStyle name="表体数字(小) 37 3" xfId="18802"/>
    <cellStyle name="表体数字(小) 37 3 2" xfId="18804"/>
    <cellStyle name="表体数字(小) 37 3 3" xfId="18807"/>
    <cellStyle name="表体数字(小) 37 3 4" xfId="18810"/>
    <cellStyle name="表体数字(小) 37 3 5" xfId="18814"/>
    <cellStyle name="表体数字(小) 37 3 6" xfId="18818"/>
    <cellStyle name="表体数字(小) 37 3 7" xfId="18822"/>
    <cellStyle name="表体数字(小) 37 3 8" xfId="18826"/>
    <cellStyle name="表体数字(小) 37 4" xfId="18829"/>
    <cellStyle name="表体数字(小) 37 5" xfId="18831"/>
    <cellStyle name="表体数字(小) 37 6" xfId="18833"/>
    <cellStyle name="表体数字(小) 37 7" xfId="18835"/>
    <cellStyle name="表体数字(小) 37 8" xfId="18837"/>
    <cellStyle name="表体数字(小) 37 9" xfId="18839"/>
    <cellStyle name="表体数字(小) 38" xfId="18841"/>
    <cellStyle name="表体数字(小) 38 10" xfId="18843"/>
    <cellStyle name="表体数字(小) 38 2" xfId="2053"/>
    <cellStyle name="表体数字(小) 38 2 2" xfId="7608"/>
    <cellStyle name="表体数字(小) 38 2 3" xfId="7612"/>
    <cellStyle name="表体数字(小) 38 2 4" xfId="18845"/>
    <cellStyle name="表体数字(小) 38 2 5" xfId="16503"/>
    <cellStyle name="表体数字(小) 38 2 6" xfId="18850"/>
    <cellStyle name="表体数字(小) 38 2 7" xfId="18855"/>
    <cellStyle name="表体数字(小) 38 2 8" xfId="18860"/>
    <cellStyle name="表体数字(小) 38 3" xfId="5826"/>
    <cellStyle name="表体数字(小) 38 3 2" xfId="7573"/>
    <cellStyle name="表体数字(小) 38 3 3" xfId="3546"/>
    <cellStyle name="表体数字(小) 38 3 4" xfId="18864"/>
    <cellStyle name="表体数字(小) 38 3 5" xfId="18869"/>
    <cellStyle name="表体数字(小) 38 3 6" xfId="18874"/>
    <cellStyle name="表体数字(小) 38 3 7" xfId="18879"/>
    <cellStyle name="表体数字(小) 38 3 8" xfId="18884"/>
    <cellStyle name="表体数字(小) 38 4" xfId="5832"/>
    <cellStyle name="表体数字(小) 38 5" xfId="7617"/>
    <cellStyle name="表体数字(小) 38 6" xfId="7629"/>
    <cellStyle name="表体数字(小) 38 7" xfId="7641"/>
    <cellStyle name="表体数字(小) 38 8" xfId="7648"/>
    <cellStyle name="表体数字(小) 38 9" xfId="7656"/>
    <cellStyle name="表体数字(小) 39" xfId="18888"/>
    <cellStyle name="表体数字(小) 39 10" xfId="13422"/>
    <cellStyle name="表体数字(小) 39 2" xfId="7809"/>
    <cellStyle name="表体数字(小) 39 2 2" xfId="7813"/>
    <cellStyle name="表体数字(小) 39 2 3" xfId="7817"/>
    <cellStyle name="表体数字(小) 39 2 4" xfId="18890"/>
    <cellStyle name="表体数字(小) 39 2 5" xfId="16642"/>
    <cellStyle name="表体数字(小) 39 2 6" xfId="18892"/>
    <cellStyle name="表体数字(小) 39 2 7" xfId="18894"/>
    <cellStyle name="表体数字(小) 39 2 8" xfId="18896"/>
    <cellStyle name="表体数字(小) 39 3" xfId="7824"/>
    <cellStyle name="表体数字(小) 39 3 2" xfId="7828"/>
    <cellStyle name="表体数字(小) 39 3 3" xfId="7832"/>
    <cellStyle name="表体数字(小) 39 3 4" xfId="18898"/>
    <cellStyle name="表体数字(小) 39 3 5" xfId="18900"/>
    <cellStyle name="表体数字(小) 39 3 6" xfId="18902"/>
    <cellStyle name="表体数字(小) 39 3 7" xfId="18904"/>
    <cellStyle name="表体数字(小) 39 3 8" xfId="18906"/>
    <cellStyle name="表体数字(小) 39 4" xfId="7836"/>
    <cellStyle name="表体数字(小) 39 5" xfId="7844"/>
    <cellStyle name="表体数字(小) 39 6" xfId="7856"/>
    <cellStyle name="表体数字(小) 39 7" xfId="7868"/>
    <cellStyle name="表体数字(小) 39 8" xfId="7874"/>
    <cellStyle name="表体数字(小) 39 9" xfId="5614"/>
    <cellStyle name="表体数字(小) 4" xfId="18908"/>
    <cellStyle name="表体数字(小) 4 10" xfId="5074"/>
    <cellStyle name="表体数字(小) 4 2" xfId="18909"/>
    <cellStyle name="表体数字(小) 4 2 2" xfId="3108"/>
    <cellStyle name="表体数字(小) 4 2 3" xfId="3113"/>
    <cellStyle name="表体数字(小) 4 2 4" xfId="5116"/>
    <cellStyle name="表体数字(小) 4 2 5" xfId="18910"/>
    <cellStyle name="表体数字(小) 4 2 6" xfId="18911"/>
    <cellStyle name="表体数字(小) 4 2 7" xfId="7678"/>
    <cellStyle name="表体数字(小) 4 2 8" xfId="7681"/>
    <cellStyle name="表体数字(小) 4 3" xfId="18912"/>
    <cellStyle name="表体数字(小) 4 3 2" xfId="3122"/>
    <cellStyle name="表体数字(小) 4 3 3" xfId="3128"/>
    <cellStyle name="表体数字(小) 4 3 4" xfId="5158"/>
    <cellStyle name="表体数字(小) 4 3 5" xfId="18913"/>
    <cellStyle name="表体数字(小) 4 3 6" xfId="18914"/>
    <cellStyle name="表体数字(小) 4 3 7" xfId="7687"/>
    <cellStyle name="表体数字(小) 4 3 8" xfId="7690"/>
    <cellStyle name="表体数字(小) 4 4" xfId="18915"/>
    <cellStyle name="表体数字(小) 4 5" xfId="16205"/>
    <cellStyle name="表体数字(小) 4 6" xfId="16208"/>
    <cellStyle name="表体数字(小) 4 7" xfId="16211"/>
    <cellStyle name="表体数字(小) 4 8" xfId="16214"/>
    <cellStyle name="表体数字(小) 4 9" xfId="16217"/>
    <cellStyle name="表体数字(小) 40" xfId="18647"/>
    <cellStyle name="表体数字(小) 40 10" xfId="18649"/>
    <cellStyle name="表体数字(小) 40 2" xfId="18653"/>
    <cellStyle name="表体数字(小) 40 2 2" xfId="18659"/>
    <cellStyle name="表体数字(小) 40 2 3" xfId="18662"/>
    <cellStyle name="表体数字(小) 40 2 4" xfId="18665"/>
    <cellStyle name="表体数字(小) 40 2 5" xfId="18668"/>
    <cellStyle name="表体数字(小) 40 2 6" xfId="18671"/>
    <cellStyle name="表体数字(小) 40 2 7" xfId="18674"/>
    <cellStyle name="表体数字(小) 40 2 8" xfId="18677"/>
    <cellStyle name="表体数字(小) 40 3" xfId="18679"/>
    <cellStyle name="表体数字(小) 40 3 2" xfId="18683"/>
    <cellStyle name="表体数字(小) 40 3 3" xfId="18686"/>
    <cellStyle name="表体数字(小) 40 3 4" xfId="18689"/>
    <cellStyle name="表体数字(小) 40 3 5" xfId="18692"/>
    <cellStyle name="表体数字(小) 40 3 6" xfId="18695"/>
    <cellStyle name="表体数字(小) 40 3 7" xfId="18698"/>
    <cellStyle name="表体数字(小) 40 3 8" xfId="18701"/>
    <cellStyle name="表体数字(小) 40 4" xfId="18703"/>
    <cellStyle name="表体数字(小) 40 5" xfId="18705"/>
    <cellStyle name="表体数字(小) 40 6" xfId="18707"/>
    <cellStyle name="表体数字(小) 40 7" xfId="18709"/>
    <cellStyle name="表体数字(小) 40 8" xfId="18711"/>
    <cellStyle name="表体数字(小) 40 9" xfId="18713"/>
    <cellStyle name="表体数字(小) 41" xfId="18715"/>
    <cellStyle name="表体数字(小) 41 10" xfId="18717"/>
    <cellStyle name="表体数字(小) 41 2" xfId="18719"/>
    <cellStyle name="表体数字(小) 41 2 2" xfId="18721"/>
    <cellStyle name="表体数字(小) 41 2 3" xfId="18724"/>
    <cellStyle name="表体数字(小) 41 2 4" xfId="18727"/>
    <cellStyle name="表体数字(小) 41 2 5" xfId="18730"/>
    <cellStyle name="表体数字(小) 41 2 6" xfId="18733"/>
    <cellStyle name="表体数字(小) 41 2 7" xfId="18736"/>
    <cellStyle name="表体数字(小) 41 2 8" xfId="18739"/>
    <cellStyle name="表体数字(小) 41 3" xfId="18741"/>
    <cellStyle name="表体数字(小) 41 3 2" xfId="18743"/>
    <cellStyle name="表体数字(小) 41 3 3" xfId="18746"/>
    <cellStyle name="表体数字(小) 41 3 4" xfId="18749"/>
    <cellStyle name="表体数字(小) 41 3 5" xfId="18752"/>
    <cellStyle name="表体数字(小) 41 3 6" xfId="18755"/>
    <cellStyle name="表体数字(小) 41 3 7" xfId="18759"/>
    <cellStyle name="表体数字(小) 41 3 8" xfId="18763"/>
    <cellStyle name="表体数字(小) 41 4" xfId="18765"/>
    <cellStyle name="表体数字(小) 41 5" xfId="18767"/>
    <cellStyle name="表体数字(小) 41 6" xfId="18769"/>
    <cellStyle name="表体数字(小) 41 7" xfId="18771"/>
    <cellStyle name="表体数字(小) 41 8" xfId="18773"/>
    <cellStyle name="表体数字(小) 41 9" xfId="18775"/>
    <cellStyle name="表体数字(小) 42" xfId="18777"/>
    <cellStyle name="表体数字(小) 42 10" xfId="18779"/>
    <cellStyle name="表体数字(小) 42 2" xfId="18781"/>
    <cellStyle name="表体数字(小) 42 2 2" xfId="18783"/>
    <cellStyle name="表体数字(小) 42 2 3" xfId="18786"/>
    <cellStyle name="表体数字(小) 42 2 4" xfId="18789"/>
    <cellStyle name="表体数字(小) 42 2 5" xfId="18792"/>
    <cellStyle name="表体数字(小) 42 2 6" xfId="18795"/>
    <cellStyle name="表体数字(小) 42 2 7" xfId="18798"/>
    <cellStyle name="表体数字(小) 42 2 8" xfId="18801"/>
    <cellStyle name="表体数字(小) 42 3" xfId="18803"/>
    <cellStyle name="表体数字(小) 42 3 2" xfId="18805"/>
    <cellStyle name="表体数字(小) 42 3 3" xfId="18808"/>
    <cellStyle name="表体数字(小) 42 3 4" xfId="18811"/>
    <cellStyle name="表体数字(小) 42 3 5" xfId="18815"/>
    <cellStyle name="表体数字(小) 42 3 6" xfId="18819"/>
    <cellStyle name="表体数字(小) 42 3 7" xfId="18823"/>
    <cellStyle name="表体数字(小) 42 3 8" xfId="18827"/>
    <cellStyle name="表体数字(小) 42 4" xfId="18830"/>
    <cellStyle name="表体数字(小) 42 5" xfId="18832"/>
    <cellStyle name="表体数字(小) 42 6" xfId="18834"/>
    <cellStyle name="表体数字(小) 42 7" xfId="18836"/>
    <cellStyle name="表体数字(小) 42 8" xfId="18838"/>
    <cellStyle name="表体数字(小) 42 9" xfId="18840"/>
    <cellStyle name="表体数字(小) 43" xfId="18842"/>
    <cellStyle name="表体数字(小) 43 10" xfId="18844"/>
    <cellStyle name="表体数字(小) 43 2" xfId="2052"/>
    <cellStyle name="表体数字(小) 43 2 2" xfId="7609"/>
    <cellStyle name="表体数字(小) 43 2 3" xfId="7613"/>
    <cellStyle name="表体数字(小) 43 2 4" xfId="18846"/>
    <cellStyle name="表体数字(小) 43 2 5" xfId="16504"/>
    <cellStyle name="表体数字(小) 43 2 6" xfId="18851"/>
    <cellStyle name="表体数字(小) 43 2 7" xfId="18856"/>
    <cellStyle name="表体数字(小) 43 2 8" xfId="18861"/>
    <cellStyle name="表体数字(小) 43 3" xfId="5827"/>
    <cellStyle name="表体数字(小) 43 3 2" xfId="7574"/>
    <cellStyle name="表体数字(小) 43 3 3" xfId="3545"/>
    <cellStyle name="表体数字(小) 43 3 4" xfId="18865"/>
    <cellStyle name="表体数字(小) 43 3 5" xfId="18870"/>
    <cellStyle name="表体数字(小) 43 3 6" xfId="18875"/>
    <cellStyle name="表体数字(小) 43 3 7" xfId="18880"/>
    <cellStyle name="表体数字(小) 43 3 8" xfId="18885"/>
    <cellStyle name="表体数字(小) 43 4" xfId="5833"/>
    <cellStyle name="表体数字(小) 43 5" xfId="7618"/>
    <cellStyle name="表体数字(小) 43 6" xfId="7630"/>
    <cellStyle name="表体数字(小) 43 7" xfId="7642"/>
    <cellStyle name="表体数字(小) 43 8" xfId="7649"/>
    <cellStyle name="表体数字(小) 43 9" xfId="7657"/>
    <cellStyle name="表体数字(小) 44" xfId="18889"/>
    <cellStyle name="表体数字(小) 44 10" xfId="13423"/>
    <cellStyle name="表体数字(小) 44 2" xfId="7810"/>
    <cellStyle name="表体数字(小) 44 2 2" xfId="7814"/>
    <cellStyle name="表体数字(小) 44 2 3" xfId="7818"/>
    <cellStyle name="表体数字(小) 44 2 4" xfId="18891"/>
    <cellStyle name="表体数字(小) 44 2 5" xfId="16643"/>
    <cellStyle name="表体数字(小) 44 2 6" xfId="18893"/>
    <cellStyle name="表体数字(小) 44 2 7" xfId="18895"/>
    <cellStyle name="表体数字(小) 44 2 8" xfId="18897"/>
    <cellStyle name="表体数字(小) 44 3" xfId="7825"/>
    <cellStyle name="表体数字(小) 44 3 2" xfId="7829"/>
    <cellStyle name="表体数字(小) 44 3 3" xfId="7833"/>
    <cellStyle name="表体数字(小) 44 3 4" xfId="18899"/>
    <cellStyle name="表体数字(小) 44 3 5" xfId="18901"/>
    <cellStyle name="表体数字(小) 44 3 6" xfId="18903"/>
    <cellStyle name="表体数字(小) 44 3 7" xfId="18905"/>
    <cellStyle name="表体数字(小) 44 3 8" xfId="18907"/>
    <cellStyle name="表体数字(小) 44 4" xfId="7837"/>
    <cellStyle name="表体数字(小) 44 5" xfId="7845"/>
    <cellStyle name="表体数字(小) 44 6" xfId="7857"/>
    <cellStyle name="表体数字(小) 44 7" xfId="7869"/>
    <cellStyle name="表体数字(小) 44 8" xfId="7875"/>
    <cellStyle name="表体数字(小) 44 9" xfId="5615"/>
    <cellStyle name="表体数字(小) 45" xfId="18916"/>
    <cellStyle name="表体数字(小) 45 10" xfId="18918"/>
    <cellStyle name="表体数字(小) 45 2" xfId="18922"/>
    <cellStyle name="表体数字(小) 45 2 2" xfId="18924"/>
    <cellStyle name="表体数字(小) 45 2 3" xfId="18926"/>
    <cellStyle name="表体数字(小) 45 2 4" xfId="18928"/>
    <cellStyle name="表体数字(小) 45 2 5" xfId="18309"/>
    <cellStyle name="表体数字(小) 45 2 6" xfId="18930"/>
    <cellStyle name="表体数字(小) 45 2 7" xfId="18932"/>
    <cellStyle name="表体数字(小) 45 2 8" xfId="18934"/>
    <cellStyle name="表体数字(小) 45 3" xfId="18936"/>
    <cellStyle name="表体数字(小) 45 3 2" xfId="18939"/>
    <cellStyle name="表体数字(小) 45 3 3" xfId="18941"/>
    <cellStyle name="表体数字(小) 45 3 4" xfId="18943"/>
    <cellStyle name="表体数字(小) 45 3 5" xfId="18945"/>
    <cellStyle name="表体数字(小) 45 3 6" xfId="18947"/>
    <cellStyle name="表体数字(小) 45 3 7" xfId="18949"/>
    <cellStyle name="表体数字(小) 45 3 8" xfId="18951"/>
    <cellStyle name="表体数字(小) 45 4" xfId="18953"/>
    <cellStyle name="表体数字(小) 45 5" xfId="18956"/>
    <cellStyle name="表体数字(小) 45 6" xfId="18959"/>
    <cellStyle name="表体数字(小) 45 7" xfId="18962"/>
    <cellStyle name="表体数字(小) 45 8" xfId="18965"/>
    <cellStyle name="表体数字(小) 45 9" xfId="18968"/>
    <cellStyle name="表体数字(小) 46" xfId="18971"/>
    <cellStyle name="表体数字(小) 46 10" xfId="18973"/>
    <cellStyle name="表体数字(小) 46 2" xfId="18975"/>
    <cellStyle name="表体数字(小) 46 2 2" xfId="18977"/>
    <cellStyle name="表体数字(小) 46 2 3" xfId="18979"/>
    <cellStyle name="表体数字(小) 46 2 4" xfId="18981"/>
    <cellStyle name="表体数字(小) 46 2 5" xfId="18650"/>
    <cellStyle name="表体数字(小) 46 2 6" xfId="18983"/>
    <cellStyle name="表体数字(小) 46 2 7" xfId="18985"/>
    <cellStyle name="表体数字(小) 46 2 8" xfId="18987"/>
    <cellStyle name="表体数字(小) 46 3" xfId="18989"/>
    <cellStyle name="表体数字(小) 46 3 2" xfId="18992"/>
    <cellStyle name="表体数字(小) 46 3 3" xfId="18994"/>
    <cellStyle name="表体数字(小) 46 3 4" xfId="18996"/>
    <cellStyle name="表体数字(小) 46 3 5" xfId="18998"/>
    <cellStyle name="表体数字(小) 46 3 6" xfId="19000"/>
    <cellStyle name="表体数字(小) 46 3 7" xfId="19002"/>
    <cellStyle name="表体数字(小) 46 3 8" xfId="19004"/>
    <cellStyle name="表体数字(小) 46 4" xfId="19006"/>
    <cellStyle name="表体数字(小) 46 5" xfId="19009"/>
    <cellStyle name="表体数字(小) 46 6" xfId="19012"/>
    <cellStyle name="表体数字(小) 46 7" xfId="19015"/>
    <cellStyle name="表体数字(小) 46 8" xfId="19018"/>
    <cellStyle name="表体数字(小) 46 9" xfId="19021"/>
    <cellStyle name="表体数字(小) 47" xfId="19024"/>
    <cellStyle name="表体数字(小) 47 10" xfId="19026"/>
    <cellStyle name="表体数字(小) 47 2" xfId="19028"/>
    <cellStyle name="表体数字(小) 47 2 2" xfId="18353"/>
    <cellStyle name="表体数字(小) 47 2 3" xfId="18357"/>
    <cellStyle name="表体数字(小) 47 2 4" xfId="19030"/>
    <cellStyle name="表体数字(小) 47 2 5" xfId="18920"/>
    <cellStyle name="表体数字(小) 47 2 6" xfId="19032"/>
    <cellStyle name="表体数字(小) 47 2 7" xfId="19034"/>
    <cellStyle name="表体数字(小) 47 2 8" xfId="19036"/>
    <cellStyle name="表体数字(小) 47 3" xfId="19038"/>
    <cellStyle name="表体数字(小) 47 3 2" xfId="18417"/>
    <cellStyle name="表体数字(小) 47 3 3" xfId="18421"/>
    <cellStyle name="表体数字(小) 47 3 4" xfId="19040"/>
    <cellStyle name="表体数字(小) 47 3 5" xfId="19042"/>
    <cellStyle name="表体数字(小) 47 3 6" xfId="19044"/>
    <cellStyle name="表体数字(小) 47 3 7" xfId="19046"/>
    <cellStyle name="表体数字(小) 47 3 8" xfId="19048"/>
    <cellStyle name="表体数字(小) 47 4" xfId="19050"/>
    <cellStyle name="表体数字(小) 47 5" xfId="19052"/>
    <cellStyle name="表体数字(小) 47 6" xfId="19054"/>
    <cellStyle name="表体数字(小) 47 7" xfId="19056"/>
    <cellStyle name="表体数字(小) 47 8" xfId="19058"/>
    <cellStyle name="表体数字(小) 47 9" xfId="19060"/>
    <cellStyle name="表体数字(小) 48" xfId="19062"/>
    <cellStyle name="表体数字(小) 48 10" xfId="4312"/>
    <cellStyle name="表体数字(小) 48 2" xfId="19064"/>
    <cellStyle name="表体数字(小) 48 2 2" xfId="19066"/>
    <cellStyle name="表体数字(小) 48 2 3" xfId="19068"/>
    <cellStyle name="表体数字(小) 48 2 4" xfId="19070"/>
    <cellStyle name="表体数字(小) 48 2 5" xfId="19072"/>
    <cellStyle name="表体数字(小) 48 2 6" xfId="19076"/>
    <cellStyle name="表体数字(小) 48 2 7" xfId="19078"/>
    <cellStyle name="表体数字(小) 48 2 8" xfId="19080"/>
    <cellStyle name="表体数字(小) 48 3" xfId="19082"/>
    <cellStyle name="表体数字(小) 48 3 2" xfId="19084"/>
    <cellStyle name="表体数字(小) 48 3 3" xfId="19087"/>
    <cellStyle name="表体数字(小) 48 3 4" xfId="19090"/>
    <cellStyle name="表体数字(小) 48 3 5" xfId="19093"/>
    <cellStyle name="表体数字(小) 48 3 6" xfId="19096"/>
    <cellStyle name="表体数字(小) 48 3 7" xfId="19099"/>
    <cellStyle name="表体数字(小) 48 3 8" xfId="19102"/>
    <cellStyle name="表体数字(小) 48 4" xfId="19104"/>
    <cellStyle name="表体数字(小) 48 5" xfId="19106"/>
    <cellStyle name="表体数字(小) 48 6" xfId="19108"/>
    <cellStyle name="表体数字(小) 48 7" xfId="19110"/>
    <cellStyle name="表体数字(小) 48 8" xfId="19112"/>
    <cellStyle name="表体数字(小) 48 9" xfId="19114"/>
    <cellStyle name="表体数字(小) 49" xfId="19116"/>
    <cellStyle name="表体数字(小) 49 10" xfId="13447"/>
    <cellStyle name="表体数字(小) 49 2" xfId="19118"/>
    <cellStyle name="表体数字(小) 49 2 2" xfId="1769"/>
    <cellStyle name="表体数字(小) 49 2 3" xfId="1773"/>
    <cellStyle name="表体数字(小) 49 2 4" xfId="1777"/>
    <cellStyle name="表体数字(小) 49 2 5" xfId="1782"/>
    <cellStyle name="表体数字(小) 49 2 6" xfId="1786"/>
    <cellStyle name="表体数字(小) 49 2 7" xfId="9013"/>
    <cellStyle name="表体数字(小) 49 2 8" xfId="9018"/>
    <cellStyle name="表体数字(小) 49 3" xfId="19120"/>
    <cellStyle name="表体数字(小) 49 3 2" xfId="1809"/>
    <cellStyle name="表体数字(小) 49 3 3" xfId="1818"/>
    <cellStyle name="表体数字(小) 49 3 4" xfId="1829"/>
    <cellStyle name="表体数字(小) 49 3 5" xfId="1840"/>
    <cellStyle name="表体数字(小) 49 3 6" xfId="1845"/>
    <cellStyle name="表体数字(小) 49 3 7" xfId="9051"/>
    <cellStyle name="表体数字(小) 49 3 8" xfId="9057"/>
    <cellStyle name="表体数字(小) 49 4" xfId="19122"/>
    <cellStyle name="表体数字(小) 49 5" xfId="19124"/>
    <cellStyle name="表体数字(小) 49 6" xfId="19126"/>
    <cellStyle name="表体数字(小) 49 7" xfId="8859"/>
    <cellStyle name="表体数字(小) 49 8" xfId="8905"/>
    <cellStyle name="表体数字(小) 49 9" xfId="8962"/>
    <cellStyle name="表体数字(小) 5" xfId="19128"/>
    <cellStyle name="表体数字(小) 5 10" xfId="10885"/>
    <cellStyle name="表体数字(小) 5 2" xfId="19129"/>
    <cellStyle name="表体数字(小) 5 2 2" xfId="10516"/>
    <cellStyle name="表体数字(小) 5 2 3" xfId="10557"/>
    <cellStyle name="表体数字(小) 5 2 4" xfId="10602"/>
    <cellStyle name="表体数字(小) 5 2 5" xfId="10636"/>
    <cellStyle name="表体数字(小) 5 2 6" xfId="10675"/>
    <cellStyle name="表体数字(小) 5 2 7" xfId="10704"/>
    <cellStyle name="表体数字(小) 5 2 8" xfId="19130"/>
    <cellStyle name="表体数字(小) 5 3" xfId="19131"/>
    <cellStyle name="表体数字(小) 5 3 2" xfId="11120"/>
    <cellStyle name="表体数字(小) 5 3 3" xfId="11141"/>
    <cellStyle name="表体数字(小) 5 3 4" xfId="11162"/>
    <cellStyle name="表体数字(小) 5 3 5" xfId="11185"/>
    <cellStyle name="表体数字(小) 5 3 6" xfId="11222"/>
    <cellStyle name="表体数字(小) 5 3 7" xfId="11245"/>
    <cellStyle name="表体数字(小) 5 3 8" xfId="19132"/>
    <cellStyle name="表体数字(小) 5 4" xfId="19133"/>
    <cellStyle name="表体数字(小) 5 5" xfId="16224"/>
    <cellStyle name="表体数字(小) 5 6" xfId="3215"/>
    <cellStyle name="表体数字(小) 5 7" xfId="3232"/>
    <cellStyle name="表体数字(小) 5 8" xfId="16227"/>
    <cellStyle name="表体数字(小) 5 9" xfId="16230"/>
    <cellStyle name="表体数字(小) 50" xfId="18917"/>
    <cellStyle name="表体数字(小) 50 10" xfId="18919"/>
    <cellStyle name="表体数字(小) 50 2" xfId="18923"/>
    <cellStyle name="表体数字(小) 50 2 2" xfId="18925"/>
    <cellStyle name="表体数字(小) 50 2 3" xfId="18927"/>
    <cellStyle name="表体数字(小) 50 2 4" xfId="18929"/>
    <cellStyle name="表体数字(小) 50 2 5" xfId="18310"/>
    <cellStyle name="表体数字(小) 50 2 6" xfId="18931"/>
    <cellStyle name="表体数字(小) 50 2 7" xfId="18933"/>
    <cellStyle name="表体数字(小) 50 2 8" xfId="18935"/>
    <cellStyle name="表体数字(小) 50 3" xfId="18937"/>
    <cellStyle name="表体数字(小) 50 3 2" xfId="18940"/>
    <cellStyle name="表体数字(小) 50 3 3" xfId="18942"/>
    <cellStyle name="表体数字(小) 50 3 4" xfId="18944"/>
    <cellStyle name="表体数字(小) 50 3 5" xfId="18946"/>
    <cellStyle name="表体数字(小) 50 3 6" xfId="18948"/>
    <cellStyle name="表体数字(小) 50 3 7" xfId="18950"/>
    <cellStyle name="表体数字(小) 50 3 8" xfId="18952"/>
    <cellStyle name="表体数字(小) 50 4" xfId="18954"/>
    <cellStyle name="表体数字(小) 50 5" xfId="18957"/>
    <cellStyle name="表体数字(小) 50 6" xfId="18960"/>
    <cellStyle name="表体数字(小) 50 7" xfId="18963"/>
    <cellStyle name="表体数字(小) 50 8" xfId="18966"/>
    <cellStyle name="表体数字(小) 50 9" xfId="18969"/>
    <cellStyle name="表体数字(小) 51" xfId="18972"/>
    <cellStyle name="表体数字(小) 51 10" xfId="18974"/>
    <cellStyle name="表体数字(小) 51 2" xfId="18976"/>
    <cellStyle name="表体数字(小) 51 2 2" xfId="18978"/>
    <cellStyle name="表体数字(小) 51 2 3" xfId="18980"/>
    <cellStyle name="表体数字(小) 51 2 4" xfId="18982"/>
    <cellStyle name="表体数字(小) 51 2 5" xfId="18651"/>
    <cellStyle name="表体数字(小) 51 2 6" xfId="18984"/>
    <cellStyle name="表体数字(小) 51 2 7" xfId="18986"/>
    <cellStyle name="表体数字(小) 51 2 8" xfId="18988"/>
    <cellStyle name="表体数字(小) 51 3" xfId="18990"/>
    <cellStyle name="表体数字(小) 51 3 2" xfId="18993"/>
    <cellStyle name="表体数字(小) 51 3 3" xfId="18995"/>
    <cellStyle name="表体数字(小) 51 3 4" xfId="18997"/>
    <cellStyle name="表体数字(小) 51 3 5" xfId="18999"/>
    <cellStyle name="表体数字(小) 51 3 6" xfId="19001"/>
    <cellStyle name="表体数字(小) 51 3 7" xfId="19003"/>
    <cellStyle name="表体数字(小) 51 3 8" xfId="19005"/>
    <cellStyle name="表体数字(小) 51 4" xfId="19007"/>
    <cellStyle name="表体数字(小) 51 5" xfId="19010"/>
    <cellStyle name="表体数字(小) 51 6" xfId="19013"/>
    <cellStyle name="表体数字(小) 51 7" xfId="19016"/>
    <cellStyle name="表体数字(小) 51 8" xfId="19019"/>
    <cellStyle name="表体数字(小) 51 9" xfId="19022"/>
    <cellStyle name="表体数字(小) 52" xfId="19025"/>
    <cellStyle name="表体数字(小) 52 10" xfId="19027"/>
    <cellStyle name="表体数字(小) 52 2" xfId="19029"/>
    <cellStyle name="表体数字(小) 52 2 2" xfId="18354"/>
    <cellStyle name="表体数字(小) 52 2 3" xfId="18358"/>
    <cellStyle name="表体数字(小) 52 2 4" xfId="19031"/>
    <cellStyle name="表体数字(小) 52 2 5" xfId="18921"/>
    <cellStyle name="表体数字(小) 52 2 6" xfId="19033"/>
    <cellStyle name="表体数字(小) 52 2 7" xfId="19035"/>
    <cellStyle name="表体数字(小) 52 2 8" xfId="19037"/>
    <cellStyle name="表体数字(小) 52 3" xfId="19039"/>
    <cellStyle name="表体数字(小) 52 3 2" xfId="18418"/>
    <cellStyle name="表体数字(小) 52 3 3" xfId="18422"/>
    <cellStyle name="表体数字(小) 52 3 4" xfId="19041"/>
    <cellStyle name="表体数字(小) 52 3 5" xfId="19043"/>
    <cellStyle name="表体数字(小) 52 3 6" xfId="19045"/>
    <cellStyle name="表体数字(小) 52 3 7" xfId="19047"/>
    <cellStyle name="表体数字(小) 52 3 8" xfId="19049"/>
    <cellStyle name="表体数字(小) 52 4" xfId="19051"/>
    <cellStyle name="表体数字(小) 52 5" xfId="19053"/>
    <cellStyle name="表体数字(小) 52 6" xfId="19055"/>
    <cellStyle name="表体数字(小) 52 7" xfId="19057"/>
    <cellStyle name="表体数字(小) 52 8" xfId="19059"/>
    <cellStyle name="表体数字(小) 52 9" xfId="19061"/>
    <cellStyle name="表体数字(小) 53" xfId="19063"/>
    <cellStyle name="表体数字(小) 53 10" xfId="4313"/>
    <cellStyle name="表体数字(小) 53 2" xfId="19065"/>
    <cellStyle name="表体数字(小) 53 2 2" xfId="19067"/>
    <cellStyle name="表体数字(小) 53 2 3" xfId="19069"/>
    <cellStyle name="表体数字(小) 53 2 4" xfId="19071"/>
    <cellStyle name="表体数字(小) 53 2 5" xfId="19073"/>
    <cellStyle name="表体数字(小) 53 2 6" xfId="19077"/>
    <cellStyle name="表体数字(小) 53 2 7" xfId="19079"/>
    <cellStyle name="表体数字(小) 53 2 8" xfId="19081"/>
    <cellStyle name="表体数字(小) 53 3" xfId="19083"/>
    <cellStyle name="表体数字(小) 53 3 2" xfId="19085"/>
    <cellStyle name="表体数字(小) 53 3 3" xfId="19088"/>
    <cellStyle name="表体数字(小) 53 3 4" xfId="19091"/>
    <cellStyle name="表体数字(小) 53 3 5" xfId="19094"/>
    <cellStyle name="表体数字(小) 53 3 6" xfId="19097"/>
    <cellStyle name="表体数字(小) 53 3 7" xfId="19100"/>
    <cellStyle name="表体数字(小) 53 3 8" xfId="19103"/>
    <cellStyle name="表体数字(小) 53 4" xfId="19105"/>
    <cellStyle name="表体数字(小) 53 5" xfId="19107"/>
    <cellStyle name="表体数字(小) 53 6" xfId="19109"/>
    <cellStyle name="表体数字(小) 53 7" xfId="19111"/>
    <cellStyle name="表体数字(小) 53 8" xfId="19113"/>
    <cellStyle name="表体数字(小) 53 9" xfId="19115"/>
    <cellStyle name="表体数字(小) 54" xfId="19117"/>
    <cellStyle name="表体数字(小) 54 10" xfId="13448"/>
    <cellStyle name="表体数字(小) 54 2" xfId="19119"/>
    <cellStyle name="表体数字(小) 54 2 2" xfId="1768"/>
    <cellStyle name="表体数字(小) 54 2 3" xfId="1772"/>
    <cellStyle name="表体数字(小) 54 2 4" xfId="1776"/>
    <cellStyle name="表体数字(小) 54 2 5" xfId="1781"/>
    <cellStyle name="表体数字(小) 54 2 6" xfId="1785"/>
    <cellStyle name="表体数字(小) 54 2 7" xfId="9014"/>
    <cellStyle name="表体数字(小) 54 2 8" xfId="9019"/>
    <cellStyle name="表体数字(小) 54 3" xfId="19121"/>
    <cellStyle name="表体数字(小) 54 3 2" xfId="1808"/>
    <cellStyle name="表体数字(小) 54 3 3" xfId="1817"/>
    <cellStyle name="表体数字(小) 54 3 4" xfId="1828"/>
    <cellStyle name="表体数字(小) 54 3 5" xfId="1839"/>
    <cellStyle name="表体数字(小) 54 3 6" xfId="1844"/>
    <cellStyle name="表体数字(小) 54 3 7" xfId="9052"/>
    <cellStyle name="表体数字(小) 54 3 8" xfId="9058"/>
    <cellStyle name="表体数字(小) 54 4" xfId="19123"/>
    <cellStyle name="表体数字(小) 54 5" xfId="19125"/>
    <cellStyle name="表体数字(小) 54 6" xfId="19127"/>
    <cellStyle name="表体数字(小) 54 7" xfId="8860"/>
    <cellStyle name="表体数字(小) 54 8" xfId="8906"/>
    <cellStyle name="表体数字(小) 54 9" xfId="8963"/>
    <cellStyle name="表体数字(小) 55" xfId="19134"/>
    <cellStyle name="表体数字(小) 55 10" xfId="19074"/>
    <cellStyle name="表体数字(小) 55 2" xfId="19136"/>
    <cellStyle name="表体数字(小) 55 2 2" xfId="2095"/>
    <cellStyle name="表体数字(小) 55 2 3" xfId="2100"/>
    <cellStyle name="表体数字(小) 55 2 4" xfId="2105"/>
    <cellStyle name="表体数字(小) 55 2 5" xfId="2110"/>
    <cellStyle name="表体数字(小) 55 2 6" xfId="2115"/>
    <cellStyle name="表体数字(小) 55 2 7" xfId="19140"/>
    <cellStyle name="表体数字(小) 55 2 8" xfId="19144"/>
    <cellStyle name="表体数字(小) 55 3" xfId="19148"/>
    <cellStyle name="表体数字(小) 55 3 2" xfId="2130"/>
    <cellStyle name="表体数字(小) 55 3 3" xfId="2136"/>
    <cellStyle name="表体数字(小) 55 3 4" xfId="2142"/>
    <cellStyle name="表体数字(小) 55 3 5" xfId="2148"/>
    <cellStyle name="表体数字(小) 55 3 6" xfId="2154"/>
    <cellStyle name="表体数字(小) 55 3 7" xfId="19152"/>
    <cellStyle name="表体数字(小) 55 3 8" xfId="19157"/>
    <cellStyle name="表体数字(小) 55 4" xfId="19161"/>
    <cellStyle name="表体数字(小) 55 5" xfId="4507"/>
    <cellStyle name="表体数字(小) 55 6" xfId="4512"/>
    <cellStyle name="表体数字(小) 55 7" xfId="4523"/>
    <cellStyle name="表体数字(小) 55 8" xfId="4528"/>
    <cellStyle name="表体数字(小) 55 9" xfId="4543"/>
    <cellStyle name="表体数字(小) 56" xfId="19165"/>
    <cellStyle name="表体数字(小) 56 10" xfId="19167"/>
    <cellStyle name="表体数字(小) 56 2" xfId="19169"/>
    <cellStyle name="表体数字(小) 56 2 2" xfId="2405"/>
    <cellStyle name="表体数字(小) 56 2 3" xfId="2414"/>
    <cellStyle name="表体数字(小) 56 2 4" xfId="2422"/>
    <cellStyle name="表体数字(小) 56 2 5" xfId="2426"/>
    <cellStyle name="表体数字(小) 56 2 6" xfId="2430"/>
    <cellStyle name="表体数字(小) 56 2 7" xfId="19173"/>
    <cellStyle name="表体数字(小) 56 2 8" xfId="19176"/>
    <cellStyle name="表体数字(小) 56 3" xfId="19179"/>
    <cellStyle name="表体数字(小) 56 3 2" xfId="2455"/>
    <cellStyle name="表体数字(小) 56 3 3" xfId="2463"/>
    <cellStyle name="表体数字(小) 56 3 4" xfId="2471"/>
    <cellStyle name="表体数字(小) 56 3 5" xfId="2475"/>
    <cellStyle name="表体数字(小) 56 3 6" xfId="2479"/>
    <cellStyle name="表体数字(小) 56 3 7" xfId="19183"/>
    <cellStyle name="表体数字(小) 56 3 8" xfId="19186"/>
    <cellStyle name="表体数字(小) 56 4" xfId="19188"/>
    <cellStyle name="表体数字(小) 56 5" xfId="3633"/>
    <cellStyle name="表体数字(小) 56 6" xfId="4587"/>
    <cellStyle name="表体数字(小) 56 7" xfId="4598"/>
    <cellStyle name="表体数字(小) 56 8" xfId="4610"/>
    <cellStyle name="表体数字(小) 56 9" xfId="4621"/>
    <cellStyle name="表体数字(小) 57" xfId="19191"/>
    <cellStyle name="表体数字(小) 57 10" xfId="19193"/>
    <cellStyle name="表体数字(小) 57 2" xfId="19195"/>
    <cellStyle name="表体数字(小) 57 2 2" xfId="15547"/>
    <cellStyle name="表体数字(小) 57 2 3" xfId="15552"/>
    <cellStyle name="表体数字(小) 57 2 4" xfId="15559"/>
    <cellStyle name="表体数字(小) 57 2 5" xfId="15563"/>
    <cellStyle name="表体数字(小) 57 2 6" xfId="15567"/>
    <cellStyle name="表体数字(小) 57 2 7" xfId="15571"/>
    <cellStyle name="表体数字(小) 57 2 8" xfId="19197"/>
    <cellStyle name="表体数字(小) 57 3" xfId="19199"/>
    <cellStyle name="表体数字(小) 57 3 2" xfId="15611"/>
    <cellStyle name="表体数字(小) 57 3 3" xfId="15617"/>
    <cellStyle name="表体数字(小) 57 3 4" xfId="15622"/>
    <cellStyle name="表体数字(小) 57 3 5" xfId="15627"/>
    <cellStyle name="表体数字(小) 57 3 6" xfId="15632"/>
    <cellStyle name="表体数字(小) 57 3 7" xfId="15637"/>
    <cellStyle name="表体数字(小) 57 3 8" xfId="19201"/>
    <cellStyle name="表体数字(小) 57 4" xfId="19203"/>
    <cellStyle name="表体数字(小) 57 5" xfId="4692"/>
    <cellStyle name="表体数字(小) 57 6" xfId="4698"/>
    <cellStyle name="表体数字(小) 57 7" xfId="4705"/>
    <cellStyle name="表体数字(小) 57 8" xfId="4715"/>
    <cellStyle name="表体数字(小) 57 9" xfId="4725"/>
    <cellStyle name="表体数字(小) 58" xfId="19205"/>
    <cellStyle name="表体数字(小) 58 10" xfId="19207"/>
    <cellStyle name="表体数字(小) 58 2" xfId="19209"/>
    <cellStyle name="表体数字(小) 58 2 2" xfId="19211"/>
    <cellStyle name="表体数字(小) 58 2 3" xfId="19213"/>
    <cellStyle name="表体数字(小) 58 2 4" xfId="19215"/>
    <cellStyle name="表体数字(小) 58 2 5" xfId="19217"/>
    <cellStyle name="表体数字(小) 58 2 6" xfId="19219"/>
    <cellStyle name="表体数字(小) 58 2 7" xfId="19223"/>
    <cellStyle name="表体数字(小) 58 2 8" xfId="19227"/>
    <cellStyle name="表体数字(小) 58 3" xfId="19231"/>
    <cellStyle name="表体数字(小) 58 3 2" xfId="19233"/>
    <cellStyle name="表体数字(小) 58 3 3" xfId="19236"/>
    <cellStyle name="表体数字(小) 58 3 4" xfId="19239"/>
    <cellStyle name="表体数字(小) 58 3 5" xfId="19242"/>
    <cellStyle name="表体数字(小) 58 3 6" xfId="19246"/>
    <cellStyle name="表体数字(小) 58 3 7" xfId="19251"/>
    <cellStyle name="表体数字(小) 58 3 8" xfId="19255"/>
    <cellStyle name="表体数字(小) 58 4" xfId="19259"/>
    <cellStyle name="表体数字(小) 58 5" xfId="19261"/>
    <cellStyle name="表体数字(小) 58 6" xfId="19263"/>
    <cellStyle name="表体数字(小) 58 7" xfId="19265"/>
    <cellStyle name="表体数字(小) 58 8" xfId="19267"/>
    <cellStyle name="表体数字(小) 58 9" xfId="19269"/>
    <cellStyle name="表体数字(小) 59" xfId="19271"/>
    <cellStyle name="表体数字(小) 59 10" xfId="13473"/>
    <cellStyle name="表体数字(小) 59 2" xfId="19273"/>
    <cellStyle name="表体数字(小) 59 2 2" xfId="19275"/>
    <cellStyle name="表体数字(小) 59 2 3" xfId="19277"/>
    <cellStyle name="表体数字(小) 59 2 4" xfId="19279"/>
    <cellStyle name="表体数字(小) 59 2 5" xfId="19281"/>
    <cellStyle name="表体数字(小) 59 2 6" xfId="19283"/>
    <cellStyle name="表体数字(小) 59 2 7" xfId="19285"/>
    <cellStyle name="表体数字(小) 59 2 8" xfId="19287"/>
    <cellStyle name="表体数字(小) 59 3" xfId="19289"/>
    <cellStyle name="表体数字(小) 59 3 2" xfId="19291"/>
    <cellStyle name="表体数字(小) 59 3 3" xfId="19294"/>
    <cellStyle name="表体数字(小) 59 3 4" xfId="19297"/>
    <cellStyle name="表体数字(小) 59 3 5" xfId="19300"/>
    <cellStyle name="表体数字(小) 59 3 6" xfId="19303"/>
    <cellStyle name="表体数字(小) 59 3 7" xfId="19306"/>
    <cellStyle name="表体数字(小) 59 3 8" xfId="19309"/>
    <cellStyle name="表体数字(小) 59 4" xfId="19311"/>
    <cellStyle name="表体数字(小) 59 5" xfId="19313"/>
    <cellStyle name="表体数字(小) 59 6" xfId="19315"/>
    <cellStyle name="表体数字(小) 59 7" xfId="19317"/>
    <cellStyle name="表体数字(小) 59 8" xfId="19319"/>
    <cellStyle name="表体数字(小) 59 9" xfId="19321"/>
    <cellStyle name="表体数字(小) 6" xfId="19323"/>
    <cellStyle name="表体数字(小) 6 10" xfId="19324"/>
    <cellStyle name="表体数字(小) 6 2" xfId="19325"/>
    <cellStyle name="表体数字(小) 6 2 2" xfId="19326"/>
    <cellStyle name="表体数字(小) 6 2 3" xfId="19327"/>
    <cellStyle name="表体数字(小) 6 2 4" xfId="19328"/>
    <cellStyle name="表体数字(小) 6 2 5" xfId="19329"/>
    <cellStyle name="表体数字(小) 6 2 6" xfId="19330"/>
    <cellStyle name="表体数字(小) 6 2 7" xfId="19331"/>
    <cellStyle name="表体数字(小) 6 2 8" xfId="19332"/>
    <cellStyle name="表体数字(小) 6 3" xfId="19333"/>
    <cellStyle name="表体数字(小) 6 3 2" xfId="19334"/>
    <cellStyle name="表体数字(小) 6 3 3" xfId="19335"/>
    <cellStyle name="表体数字(小) 6 3 4" xfId="19336"/>
    <cellStyle name="表体数字(小) 6 3 5" xfId="19337"/>
    <cellStyle name="表体数字(小) 6 3 6" xfId="19338"/>
    <cellStyle name="表体数字(小) 6 3 7" xfId="19339"/>
    <cellStyle name="表体数字(小) 6 3 8" xfId="19340"/>
    <cellStyle name="表体数字(小) 6 4" xfId="19341"/>
    <cellStyle name="表体数字(小) 6 5" xfId="19342"/>
    <cellStyle name="表体数字(小) 6 6" xfId="19343"/>
    <cellStyle name="表体数字(小) 6 7" xfId="19344"/>
    <cellStyle name="表体数字(小) 6 8" xfId="19345"/>
    <cellStyle name="表体数字(小) 6 9" xfId="19346"/>
    <cellStyle name="表体数字(小) 60" xfId="19135"/>
    <cellStyle name="表体数字(小) 60 10" xfId="19075"/>
    <cellStyle name="表体数字(小) 60 2" xfId="19137"/>
    <cellStyle name="表体数字(小) 60 2 2" xfId="2094"/>
    <cellStyle name="表体数字(小) 60 2 3" xfId="2099"/>
    <cellStyle name="表体数字(小) 60 2 4" xfId="2104"/>
    <cellStyle name="表体数字(小) 60 2 5" xfId="2109"/>
    <cellStyle name="表体数字(小) 60 2 6" xfId="2114"/>
    <cellStyle name="表体数字(小) 60 2 7" xfId="19141"/>
    <cellStyle name="表体数字(小) 60 2 8" xfId="19145"/>
    <cellStyle name="表体数字(小) 60 3" xfId="19149"/>
    <cellStyle name="表体数字(小) 60 3 2" xfId="2129"/>
    <cellStyle name="表体数字(小) 60 3 3" xfId="2135"/>
    <cellStyle name="表体数字(小) 60 3 4" xfId="2141"/>
    <cellStyle name="表体数字(小) 60 3 5" xfId="2147"/>
    <cellStyle name="表体数字(小) 60 3 6" xfId="2153"/>
    <cellStyle name="表体数字(小) 60 3 7" xfId="19153"/>
    <cellStyle name="表体数字(小) 60 3 8" xfId="19158"/>
    <cellStyle name="表体数字(小) 60 4" xfId="19162"/>
    <cellStyle name="表体数字(小) 60 5" xfId="4508"/>
    <cellStyle name="表体数字(小) 60 6" xfId="4513"/>
    <cellStyle name="表体数字(小) 60 7" xfId="4524"/>
    <cellStyle name="表体数字(小) 60 8" xfId="4529"/>
    <cellStyle name="表体数字(小) 60 9" xfId="4544"/>
    <cellStyle name="表体数字(小) 61" xfId="19166"/>
    <cellStyle name="表体数字(小) 61 10" xfId="19168"/>
    <cellStyle name="表体数字(小) 61 2" xfId="19170"/>
    <cellStyle name="表体数字(小) 61 2 2" xfId="2404"/>
    <cellStyle name="表体数字(小) 61 2 3" xfId="2413"/>
    <cellStyle name="表体数字(小) 61 2 4" xfId="2421"/>
    <cellStyle name="表体数字(小) 61 2 5" xfId="2425"/>
    <cellStyle name="表体数字(小) 61 2 6" xfId="2429"/>
    <cellStyle name="表体数字(小) 61 2 7" xfId="19174"/>
    <cellStyle name="表体数字(小) 61 2 8" xfId="19177"/>
    <cellStyle name="表体数字(小) 61 3" xfId="19180"/>
    <cellStyle name="表体数字(小) 61 3 2" xfId="2454"/>
    <cellStyle name="表体数字(小) 61 3 3" xfId="2462"/>
    <cellStyle name="表体数字(小) 61 3 4" xfId="2470"/>
    <cellStyle name="表体数字(小) 61 3 5" xfId="2474"/>
    <cellStyle name="表体数字(小) 61 3 6" xfId="2478"/>
    <cellStyle name="表体数字(小) 61 3 7" xfId="19184"/>
    <cellStyle name="表体数字(小) 61 3 8" xfId="19187"/>
    <cellStyle name="表体数字(小) 61 4" xfId="19189"/>
    <cellStyle name="表体数字(小) 61 5" xfId="3632"/>
    <cellStyle name="表体数字(小) 61 6" xfId="4588"/>
    <cellStyle name="表体数字(小) 61 7" xfId="4599"/>
    <cellStyle name="表体数字(小) 61 8" xfId="4611"/>
    <cellStyle name="表体数字(小) 61 9" xfId="4622"/>
    <cellStyle name="表体数字(小) 62" xfId="19192"/>
    <cellStyle name="表体数字(小) 62 10" xfId="19194"/>
    <cellStyle name="表体数字(小) 62 2" xfId="19196"/>
    <cellStyle name="表体数字(小) 62 2 2" xfId="15548"/>
    <cellStyle name="表体数字(小) 62 2 3" xfId="15553"/>
    <cellStyle name="表体数字(小) 62 2 4" xfId="15560"/>
    <cellStyle name="表体数字(小) 62 2 5" xfId="15564"/>
    <cellStyle name="表体数字(小) 62 2 6" xfId="15568"/>
    <cellStyle name="表体数字(小) 62 2 7" xfId="15572"/>
    <cellStyle name="表体数字(小) 62 2 8" xfId="19198"/>
    <cellStyle name="表体数字(小) 62 3" xfId="19200"/>
    <cellStyle name="表体数字(小) 62 3 2" xfId="15612"/>
    <cellStyle name="表体数字(小) 62 3 3" xfId="15618"/>
    <cellStyle name="表体数字(小) 62 3 4" xfId="15623"/>
    <cellStyle name="表体数字(小) 62 3 5" xfId="15628"/>
    <cellStyle name="表体数字(小) 62 3 6" xfId="15633"/>
    <cellStyle name="表体数字(小) 62 3 7" xfId="15638"/>
    <cellStyle name="表体数字(小) 62 3 8" xfId="19202"/>
    <cellStyle name="表体数字(小) 62 4" xfId="19204"/>
    <cellStyle name="表体数字(小) 62 5" xfId="4693"/>
    <cellStyle name="表体数字(小) 62 6" xfId="4699"/>
    <cellStyle name="表体数字(小) 62 7" xfId="4706"/>
    <cellStyle name="表体数字(小) 62 8" xfId="4716"/>
    <cellStyle name="表体数字(小) 62 9" xfId="4726"/>
    <cellStyle name="表体数字(小) 63" xfId="19206"/>
    <cellStyle name="表体数字(小) 63 10" xfId="19208"/>
    <cellStyle name="表体数字(小) 63 2" xfId="19210"/>
    <cellStyle name="表体数字(小) 63 2 2" xfId="19212"/>
    <cellStyle name="表体数字(小) 63 2 3" xfId="19214"/>
    <cellStyle name="表体数字(小) 63 2 4" xfId="19216"/>
    <cellStyle name="表体数字(小) 63 2 5" xfId="19218"/>
    <cellStyle name="表体数字(小) 63 2 6" xfId="19220"/>
    <cellStyle name="表体数字(小) 63 2 7" xfId="19224"/>
    <cellStyle name="表体数字(小) 63 2 8" xfId="19228"/>
    <cellStyle name="表体数字(小) 63 3" xfId="19232"/>
    <cellStyle name="表体数字(小) 63 3 2" xfId="19234"/>
    <cellStyle name="表体数字(小) 63 3 3" xfId="19237"/>
    <cellStyle name="表体数字(小) 63 3 4" xfId="19240"/>
    <cellStyle name="表体数字(小) 63 3 5" xfId="19243"/>
    <cellStyle name="表体数字(小) 63 3 6" xfId="19247"/>
    <cellStyle name="表体数字(小) 63 3 7" xfId="19252"/>
    <cellStyle name="表体数字(小) 63 3 8" xfId="19256"/>
    <cellStyle name="表体数字(小) 63 4" xfId="19260"/>
    <cellStyle name="表体数字(小) 63 5" xfId="19262"/>
    <cellStyle name="表体数字(小) 63 6" xfId="19264"/>
    <cellStyle name="表体数字(小) 63 7" xfId="19266"/>
    <cellStyle name="表体数字(小) 63 8" xfId="19268"/>
    <cellStyle name="表体数字(小) 63 9" xfId="19270"/>
    <cellStyle name="表体数字(小) 64" xfId="19272"/>
    <cellStyle name="表体数字(小) 64 10" xfId="13474"/>
    <cellStyle name="表体数字(小) 64 2" xfId="19274"/>
    <cellStyle name="表体数字(小) 64 2 2" xfId="19276"/>
    <cellStyle name="表体数字(小) 64 2 3" xfId="19278"/>
    <cellStyle name="表体数字(小) 64 2 4" xfId="19280"/>
    <cellStyle name="表体数字(小) 64 2 5" xfId="19282"/>
    <cellStyle name="表体数字(小) 64 2 6" xfId="19284"/>
    <cellStyle name="表体数字(小) 64 2 7" xfId="19286"/>
    <cellStyle name="表体数字(小) 64 2 8" xfId="19288"/>
    <cellStyle name="表体数字(小) 64 3" xfId="19290"/>
    <cellStyle name="表体数字(小) 64 3 2" xfId="19292"/>
    <cellStyle name="表体数字(小) 64 3 3" xfId="19295"/>
    <cellStyle name="表体数字(小) 64 3 4" xfId="19298"/>
    <cellStyle name="表体数字(小) 64 3 5" xfId="19301"/>
    <cellStyle name="表体数字(小) 64 3 6" xfId="19304"/>
    <cellStyle name="表体数字(小) 64 3 7" xfId="19307"/>
    <cellStyle name="表体数字(小) 64 3 8" xfId="19310"/>
    <cellStyle name="表体数字(小) 64 4" xfId="19312"/>
    <cellStyle name="表体数字(小) 64 5" xfId="19314"/>
    <cellStyle name="表体数字(小) 64 6" xfId="19316"/>
    <cellStyle name="表体数字(小) 64 7" xfId="19318"/>
    <cellStyle name="表体数字(小) 64 8" xfId="19320"/>
    <cellStyle name="表体数字(小) 64 9" xfId="19322"/>
    <cellStyle name="表体数字(小) 65" xfId="19347"/>
    <cellStyle name="表体数字(小) 65 10" xfId="1780"/>
    <cellStyle name="表体数字(小) 65 2" xfId="19349"/>
    <cellStyle name="表体数字(小) 65 2 2" xfId="19350"/>
    <cellStyle name="表体数字(小) 65 2 3" xfId="19351"/>
    <cellStyle name="表体数字(小) 65 2 4" xfId="19352"/>
    <cellStyle name="表体数字(小) 65 2 5" xfId="19353"/>
    <cellStyle name="表体数字(小) 65 2 6" xfId="19354"/>
    <cellStyle name="表体数字(小) 65 2 7" xfId="19355"/>
    <cellStyle name="表体数字(小) 65 2 8" xfId="19356"/>
    <cellStyle name="表体数字(小) 65 3" xfId="19357"/>
    <cellStyle name="表体数字(小) 65 3 2" xfId="19358"/>
    <cellStyle name="表体数字(小) 65 3 3" xfId="19360"/>
    <cellStyle name="表体数字(小) 65 3 4" xfId="19362"/>
    <cellStyle name="表体数字(小) 65 3 5" xfId="9003"/>
    <cellStyle name="表体数字(小) 65 3 6" xfId="19364"/>
    <cellStyle name="表体数字(小) 65 3 7" xfId="19366"/>
    <cellStyle name="表体数字(小) 65 3 8" xfId="19368"/>
    <cellStyle name="表体数字(小) 65 4" xfId="19369"/>
    <cellStyle name="表体数字(小) 65 5" xfId="1386"/>
    <cellStyle name="表体数字(小) 65 6" xfId="1397"/>
    <cellStyle name="表体数字(小) 65 7" xfId="19370"/>
    <cellStyle name="表体数字(小) 65 8" xfId="19373"/>
    <cellStyle name="表体数字(小) 65 9" xfId="13438"/>
    <cellStyle name="表体数字(小) 66" xfId="19376"/>
    <cellStyle name="表体数字(小) 66 10" xfId="8881"/>
    <cellStyle name="表体数字(小) 66 2" xfId="19378"/>
    <cellStyle name="表体数字(小) 66 2 2" xfId="19379"/>
    <cellStyle name="表体数字(小) 66 2 3" xfId="19380"/>
    <cellStyle name="表体数字(小) 66 2 4" xfId="19381"/>
    <cellStyle name="表体数字(小) 66 2 5" xfId="19382"/>
    <cellStyle name="表体数字(小) 66 2 6" xfId="19383"/>
    <cellStyle name="表体数字(小) 66 2 7" xfId="19384"/>
    <cellStyle name="表体数字(小) 66 2 8" xfId="19385"/>
    <cellStyle name="表体数字(小) 66 3" xfId="19386"/>
    <cellStyle name="表体数字(小) 66 3 2" xfId="19387"/>
    <cellStyle name="表体数字(小) 66 3 3" xfId="2931"/>
    <cellStyle name="表体数字(小) 66 3 4" xfId="6604"/>
    <cellStyle name="表体数字(小) 66 3 5" xfId="6640"/>
    <cellStyle name="表体数字(小) 66 3 6" xfId="6648"/>
    <cellStyle name="表体数字(小) 66 3 7" xfId="6651"/>
    <cellStyle name="表体数字(小) 66 3 8" xfId="6654"/>
    <cellStyle name="表体数字(小) 66 4" xfId="19388"/>
    <cellStyle name="表体数字(小) 66 5" xfId="19389"/>
    <cellStyle name="表体数字(小) 66 6" xfId="19392"/>
    <cellStyle name="表体数字(小) 66 7" xfId="19395"/>
    <cellStyle name="表体数字(小) 66 8" xfId="19398"/>
    <cellStyle name="表体数字(小) 66 9" xfId="10920"/>
    <cellStyle name="表体数字(小) 67" xfId="225"/>
    <cellStyle name="表体数字(小) 67 2" xfId="19401"/>
    <cellStyle name="表体数字(小) 67 3" xfId="19403"/>
    <cellStyle name="表体数字(小) 67 4" xfId="19405"/>
    <cellStyle name="表体数字(小) 67 5" xfId="1074"/>
    <cellStyle name="表体数字(小) 67 6" xfId="1080"/>
    <cellStyle name="表体数字(小) 67 7" xfId="19408"/>
    <cellStyle name="表体数字(小) 67 8" xfId="19410"/>
    <cellStyle name="表体数字(小) 68" xfId="19412"/>
    <cellStyle name="表体数字(小) 68 2" xfId="19414"/>
    <cellStyle name="表体数字(小) 68 3" xfId="19416"/>
    <cellStyle name="表体数字(小) 68 4" xfId="19418"/>
    <cellStyle name="表体数字(小) 68 5" xfId="19421"/>
    <cellStyle name="表体数字(小) 68 6" xfId="19424"/>
    <cellStyle name="表体数字(小) 68 7" xfId="19426"/>
    <cellStyle name="表体数字(小) 68 8" xfId="19428"/>
    <cellStyle name="表体数字(小) 69" xfId="19430"/>
    <cellStyle name="表体数字(小) 7" xfId="19432"/>
    <cellStyle name="表体数字(小) 7 10" xfId="17748"/>
    <cellStyle name="表体数字(小) 7 2" xfId="292"/>
    <cellStyle name="表体数字(小) 7 2 2" xfId="19433"/>
    <cellStyle name="表体数字(小) 7 2 3" xfId="19434"/>
    <cellStyle name="表体数字(小) 7 2 4" xfId="19435"/>
    <cellStyle name="表体数字(小) 7 2 5" xfId="19436"/>
    <cellStyle name="表体数字(小) 7 2 6" xfId="19437"/>
    <cellStyle name="表体数字(小) 7 2 7" xfId="19438"/>
    <cellStyle name="表体数字(小) 7 2 8" xfId="19439"/>
    <cellStyle name="表体数字(小) 7 3" xfId="19440"/>
    <cellStyle name="表体数字(小) 7 3 2" xfId="19441"/>
    <cellStyle name="表体数字(小) 7 3 3" xfId="19442"/>
    <cellStyle name="表体数字(小) 7 3 4" xfId="19443"/>
    <cellStyle name="表体数字(小) 7 3 5" xfId="19444"/>
    <cellStyle name="表体数字(小) 7 3 6" xfId="19445"/>
    <cellStyle name="表体数字(小) 7 3 7" xfId="19446"/>
    <cellStyle name="表体数字(小) 7 3 8" xfId="19447"/>
    <cellStyle name="表体数字(小) 7 4" xfId="19448"/>
    <cellStyle name="表体数字(小) 7 5" xfId="19449"/>
    <cellStyle name="表体数字(小) 7 6" xfId="16055"/>
    <cellStyle name="表体数字(小) 7 7" xfId="16057"/>
    <cellStyle name="表体数字(小) 7 8" xfId="16059"/>
    <cellStyle name="表体数字(小) 7 9" xfId="16061"/>
    <cellStyle name="表体数字(小) 70" xfId="19348"/>
    <cellStyle name="表体数字(小) 71" xfId="19377"/>
    <cellStyle name="表体数字(小) 72" xfId="226"/>
    <cellStyle name="表体数字(小) 73" xfId="19413"/>
    <cellStyle name="表体数字(小) 74" xfId="19431"/>
    <cellStyle name="表体数字(小) 75" xfId="19450"/>
    <cellStyle name="表体数字(小) 8" xfId="19451"/>
    <cellStyle name="表体数字(小) 8 10" xfId="19452"/>
    <cellStyle name="表体数字(小) 8 2" xfId="414"/>
    <cellStyle name="表体数字(小) 8 2 2" xfId="18938"/>
    <cellStyle name="表体数字(小) 8 2 3" xfId="18955"/>
    <cellStyle name="表体数字(小) 8 2 4" xfId="18958"/>
    <cellStyle name="表体数字(小) 8 2 5" xfId="18961"/>
    <cellStyle name="表体数字(小) 8 2 6" xfId="18964"/>
    <cellStyle name="表体数字(小) 8 2 7" xfId="18967"/>
    <cellStyle name="表体数字(小) 8 2 8" xfId="18970"/>
    <cellStyle name="表体数字(小) 8 3" xfId="19453"/>
    <cellStyle name="表体数字(小) 8 3 2" xfId="18991"/>
    <cellStyle name="表体数字(小) 8 3 3" xfId="19008"/>
    <cellStyle name="表体数字(小) 8 3 4" xfId="19011"/>
    <cellStyle name="表体数字(小) 8 3 5" xfId="19014"/>
    <cellStyle name="表体数字(小) 8 3 6" xfId="19017"/>
    <cellStyle name="表体数字(小) 8 3 7" xfId="19020"/>
    <cellStyle name="表体数字(小) 8 3 8" xfId="19023"/>
    <cellStyle name="表体数字(小) 8 4" xfId="19454"/>
    <cellStyle name="表体数字(小) 8 5" xfId="19457"/>
    <cellStyle name="表体数字(小) 8 6" xfId="16066"/>
    <cellStyle name="表体数字(小) 8 7" xfId="16070"/>
    <cellStyle name="表体数字(小) 8 8" xfId="16074"/>
    <cellStyle name="表体数字(小) 8 9" xfId="16078"/>
    <cellStyle name="表体数字(小) 9" xfId="19460"/>
    <cellStyle name="表体数字(小) 9 10" xfId="4732"/>
    <cellStyle name="表体数字(小) 9 2" xfId="642"/>
    <cellStyle name="表体数字(小) 9 2 2" xfId="19461"/>
    <cellStyle name="表体数字(小) 9 2 3" xfId="19462"/>
    <cellStyle name="表体数字(小) 9 2 4" xfId="19463"/>
    <cellStyle name="表体数字(小) 9 2 5" xfId="19464"/>
    <cellStyle name="表体数字(小) 9 2 6" xfId="19465"/>
    <cellStyle name="表体数字(小) 9 2 7" xfId="19466"/>
    <cellStyle name="表体数字(小) 9 2 8" xfId="19467"/>
    <cellStyle name="表体数字(小) 9 3" xfId="19468"/>
    <cellStyle name="表体数字(小) 9 3 2" xfId="19469"/>
    <cellStyle name="表体数字(小) 9 3 3" xfId="6532"/>
    <cellStyle name="表体数字(小) 9 3 4" xfId="6534"/>
    <cellStyle name="表体数字(小) 9 3 5" xfId="19470"/>
    <cellStyle name="表体数字(小) 9 3 6" xfId="19471"/>
    <cellStyle name="表体数字(小) 9 3 7" xfId="19472"/>
    <cellStyle name="表体数字(小) 9 3 8" xfId="19473"/>
    <cellStyle name="表体数字(小) 9 4" xfId="19474"/>
    <cellStyle name="表体数字(小) 9 5" xfId="19477"/>
    <cellStyle name="表体数字(小) 9 6" xfId="19480"/>
    <cellStyle name="表体数字(小) 9 7" xfId="19483"/>
    <cellStyle name="表体数字(小) 9 8" xfId="19486"/>
    <cellStyle name="表体数字(小) 9 9" xfId="19489"/>
    <cellStyle name="表体数字_Excel陶圆第三合同段签证部分土建" xfId="19492"/>
    <cellStyle name="表体数字3位" xfId="19495"/>
    <cellStyle name="表体数字3位 10" xfId="19496"/>
    <cellStyle name="表体数字3位 10 10" xfId="9375"/>
    <cellStyle name="表体数字3位 10 2" xfId="19499"/>
    <cellStyle name="表体数字3位 10 2 2" xfId="19500"/>
    <cellStyle name="表体数字3位 10 2 3" xfId="19502"/>
    <cellStyle name="表体数字3位 10 2 4" xfId="19504"/>
    <cellStyle name="表体数字3位 10 2 5" xfId="19506"/>
    <cellStyle name="表体数字3位 10 2 6" xfId="19507"/>
    <cellStyle name="表体数字3位 10 2 7" xfId="19508"/>
    <cellStyle name="表体数字3位 10 2 8" xfId="2981"/>
    <cellStyle name="表体数字3位 10 3" xfId="19509"/>
    <cellStyle name="表体数字3位 10 3 2" xfId="19510"/>
    <cellStyle name="表体数字3位 10 3 3" xfId="19513"/>
    <cellStyle name="表体数字3位 10 3 4" xfId="19516"/>
    <cellStyle name="表体数字3位 10 3 5" xfId="19519"/>
    <cellStyle name="表体数字3位 10 3 6" xfId="19522"/>
    <cellStyle name="表体数字3位 10 3 7" xfId="19523"/>
    <cellStyle name="表体数字3位 10 3 8" xfId="2989"/>
    <cellStyle name="表体数字3位 10 4" xfId="19524"/>
    <cellStyle name="表体数字3位 10 5" xfId="19525"/>
    <cellStyle name="表体数字3位 10 6" xfId="19526"/>
    <cellStyle name="表体数字3位 10 7" xfId="19527"/>
    <cellStyle name="表体数字3位 10 8" xfId="19528"/>
    <cellStyle name="表体数字3位 10 9" xfId="19531"/>
    <cellStyle name="表体数字3位 11" xfId="19534"/>
    <cellStyle name="表体数字3位 11 10" xfId="19537"/>
    <cellStyle name="表体数字3位 11 2" xfId="19538"/>
    <cellStyle name="表体数字3位 11 2 2" xfId="19539"/>
    <cellStyle name="表体数字3位 11 2 3" xfId="19541"/>
    <cellStyle name="表体数字3位 11 2 4" xfId="19543"/>
    <cellStyle name="表体数字3位 11 2 5" xfId="19545"/>
    <cellStyle name="表体数字3位 11 2 6" xfId="19546"/>
    <cellStyle name="表体数字3位 11 2 7" xfId="19547"/>
    <cellStyle name="表体数字3位 11 2 8" xfId="19548"/>
    <cellStyle name="表体数字3位 11 3" xfId="19549"/>
    <cellStyle name="表体数字3位 11 3 2" xfId="19550"/>
    <cellStyle name="表体数字3位 11 3 3" xfId="19553"/>
    <cellStyle name="表体数字3位 11 3 4" xfId="19556"/>
    <cellStyle name="表体数字3位 11 3 5" xfId="19559"/>
    <cellStyle name="表体数字3位 11 3 6" xfId="19562"/>
    <cellStyle name="表体数字3位 11 3 7" xfId="19563"/>
    <cellStyle name="表体数字3位 11 3 8" xfId="19564"/>
    <cellStyle name="表体数字3位 11 4" xfId="19565"/>
    <cellStyle name="表体数字3位 11 5" xfId="19566"/>
    <cellStyle name="表体数字3位 11 6" xfId="19569"/>
    <cellStyle name="表体数字3位 11 7" xfId="19572"/>
    <cellStyle name="表体数字3位 11 8" xfId="19575"/>
    <cellStyle name="表体数字3位 11 9" xfId="13568"/>
    <cellStyle name="表体数字3位 12" xfId="19580"/>
    <cellStyle name="表体数字3位 12 10" xfId="19583"/>
    <cellStyle name="表体数字3位 12 2" xfId="19584"/>
    <cellStyle name="表体数字3位 12 2 2" xfId="4096"/>
    <cellStyle name="表体数字3位 12 2 3" xfId="4099"/>
    <cellStyle name="表体数字3位 12 2 4" xfId="4107"/>
    <cellStyle name="表体数字3位 12 2 5" xfId="4113"/>
    <cellStyle name="表体数字3位 12 2 6" xfId="4116"/>
    <cellStyle name="表体数字3位 12 2 7" xfId="4119"/>
    <cellStyle name="表体数字3位 12 2 8" xfId="6943"/>
    <cellStyle name="表体数字3位 12 3" xfId="19585"/>
    <cellStyle name="表体数字3位 12 3 2" xfId="4146"/>
    <cellStyle name="表体数字3位 12 3 3" xfId="4152"/>
    <cellStyle name="表体数字3位 12 3 4" xfId="4161"/>
    <cellStyle name="表体数字3位 12 3 5" xfId="4170"/>
    <cellStyle name="表体数字3位 12 3 6" xfId="4176"/>
    <cellStyle name="表体数字3位 12 3 7" xfId="3298"/>
    <cellStyle name="表体数字3位 12 3 8" xfId="19586"/>
    <cellStyle name="表体数字3位 12 4" xfId="7130"/>
    <cellStyle name="表体数字3位 12 5" xfId="1598"/>
    <cellStyle name="表体数字3位 12 6" xfId="19587"/>
    <cellStyle name="表体数字3位 12 7" xfId="19590"/>
    <cellStyle name="表体数字3位 12 8" xfId="19593"/>
    <cellStyle name="表体数字3位 12 9" xfId="13606"/>
    <cellStyle name="表体数字3位 13" xfId="19598"/>
    <cellStyle name="表体数字3位 13 10" xfId="19601"/>
    <cellStyle name="表体数字3位 13 2" xfId="19602"/>
    <cellStyle name="表体数字3位 13 2 2" xfId="19603"/>
    <cellStyle name="表体数字3位 13 2 3" xfId="19604"/>
    <cellStyle name="表体数字3位 13 2 4" xfId="19605"/>
    <cellStyle name="表体数字3位 13 2 5" xfId="19606"/>
    <cellStyle name="表体数字3位 13 2 6" xfId="19607"/>
    <cellStyle name="表体数字3位 13 2 7" xfId="19608"/>
    <cellStyle name="表体数字3位 13 2 8" xfId="19609"/>
    <cellStyle name="表体数字3位 13 3" xfId="19610"/>
    <cellStyle name="表体数字3位 13 3 2" xfId="19612"/>
    <cellStyle name="表体数字3位 13 3 3" xfId="19616"/>
    <cellStyle name="表体数字3位 13 3 4" xfId="19620"/>
    <cellStyle name="表体数字3位 13 3 5" xfId="19624"/>
    <cellStyle name="表体数字3位 13 3 6" xfId="19628"/>
    <cellStyle name="表体数字3位 13 3 7" xfId="19630"/>
    <cellStyle name="表体数字3位 13 3 8" xfId="19631"/>
    <cellStyle name="表体数字3位 13 4" xfId="7542"/>
    <cellStyle name="表体数字3位 13 5" xfId="1609"/>
    <cellStyle name="表体数字3位 13 6" xfId="1615"/>
    <cellStyle name="表体数字3位 13 7" xfId="2302"/>
    <cellStyle name="表体数字3位 13 8" xfId="2306"/>
    <cellStyle name="表体数字3位 13 9" xfId="2310"/>
    <cellStyle name="表体数字3位 14" xfId="19632"/>
    <cellStyle name="表体数字3位 14 10" xfId="19635"/>
    <cellStyle name="表体数字3位 14 2" xfId="19636"/>
    <cellStyle name="表体数字3位 14 2 2" xfId="11967"/>
    <cellStyle name="表体数字3位 14 2 3" xfId="19637"/>
    <cellStyle name="表体数字3位 14 2 4" xfId="19638"/>
    <cellStyle name="表体数字3位 14 2 5" xfId="19639"/>
    <cellStyle name="表体数字3位 14 2 6" xfId="19640"/>
    <cellStyle name="表体数字3位 14 2 7" xfId="19641"/>
    <cellStyle name="表体数字3位 14 2 8" xfId="19642"/>
    <cellStyle name="表体数字3位 14 3" xfId="19643"/>
    <cellStyle name="表体数字3位 14 3 2" xfId="19645"/>
    <cellStyle name="表体数字3位 14 3 3" xfId="19649"/>
    <cellStyle name="表体数字3位 14 3 4" xfId="19653"/>
    <cellStyle name="表体数字3位 14 3 5" xfId="19657"/>
    <cellStyle name="表体数字3位 14 3 6" xfId="19661"/>
    <cellStyle name="表体数字3位 14 3 7" xfId="19663"/>
    <cellStyle name="表体数字3位 14 3 8" xfId="19664"/>
    <cellStyle name="表体数字3位 14 4" xfId="6147"/>
    <cellStyle name="表体数字3位 14 5" xfId="1239"/>
    <cellStyle name="表体数字3位 14 6" xfId="1251"/>
    <cellStyle name="表体数字3位 14 7" xfId="2334"/>
    <cellStyle name="表体数字3位 14 8" xfId="2338"/>
    <cellStyle name="表体数字3位 14 9" xfId="2342"/>
    <cellStyle name="表体数字3位 15" xfId="19667"/>
    <cellStyle name="表体数字3位 15 10" xfId="8742"/>
    <cellStyle name="表体数字3位 15 2" xfId="19669"/>
    <cellStyle name="表体数字3位 15 2 2" xfId="19671"/>
    <cellStyle name="表体数字3位 15 2 3" xfId="19673"/>
    <cellStyle name="表体数字3位 15 2 4" xfId="19675"/>
    <cellStyle name="表体数字3位 15 2 5" xfId="19677"/>
    <cellStyle name="表体数字3位 15 2 6" xfId="19679"/>
    <cellStyle name="表体数字3位 15 2 7" xfId="19681"/>
    <cellStyle name="表体数字3位 15 2 8" xfId="19683"/>
    <cellStyle name="表体数字3位 15 3" xfId="19685"/>
    <cellStyle name="表体数字3位 15 3 2" xfId="19688"/>
    <cellStyle name="表体数字3位 15 3 3" xfId="19693"/>
    <cellStyle name="表体数字3位 15 3 4" xfId="19698"/>
    <cellStyle name="表体数字3位 15 3 5" xfId="19703"/>
    <cellStyle name="表体数字3位 15 3 6" xfId="19708"/>
    <cellStyle name="表体数字3位 15 3 7" xfId="19711"/>
    <cellStyle name="表体数字3位 15 3 8" xfId="19713"/>
    <cellStyle name="表体数字3位 15 4" xfId="6575"/>
    <cellStyle name="表体数字3位 15 5" xfId="1625"/>
    <cellStyle name="表体数字3位 15 6" xfId="1630"/>
    <cellStyle name="表体数字3位 15 7" xfId="2358"/>
    <cellStyle name="表体数字3位 15 8" xfId="2362"/>
    <cellStyle name="表体数字3位 15 9" xfId="2367"/>
    <cellStyle name="表体数字3位 16" xfId="19717"/>
    <cellStyle name="表体数字3位 16 10" xfId="19719"/>
    <cellStyle name="表体数字3位 16 2" xfId="19721"/>
    <cellStyle name="表体数字3位 16 2 2" xfId="19723"/>
    <cellStyle name="表体数字3位 16 2 3" xfId="19725"/>
    <cellStyle name="表体数字3位 16 2 4" xfId="19727"/>
    <cellStyle name="表体数字3位 16 2 5" xfId="19729"/>
    <cellStyle name="表体数字3位 16 2 6" xfId="19731"/>
    <cellStyle name="表体数字3位 16 2 7" xfId="19733"/>
    <cellStyle name="表体数字3位 16 2 8" xfId="19735"/>
    <cellStyle name="表体数字3位 16 3" xfId="19737"/>
    <cellStyle name="表体数字3位 16 3 2" xfId="19740"/>
    <cellStyle name="表体数字3位 16 3 3" xfId="19745"/>
    <cellStyle name="表体数字3位 16 3 4" xfId="19750"/>
    <cellStyle name="表体数字3位 16 3 5" xfId="19755"/>
    <cellStyle name="表体数字3位 16 3 6" xfId="19760"/>
    <cellStyle name="表体数字3位 16 3 7" xfId="19763"/>
    <cellStyle name="表体数字3位 16 3 8" xfId="92"/>
    <cellStyle name="表体数字3位 16 4" xfId="3348"/>
    <cellStyle name="表体数字3位 16 5" xfId="2385"/>
    <cellStyle name="表体数字3位 16 6" xfId="2389"/>
    <cellStyle name="表体数字3位 16 7" xfId="2396"/>
    <cellStyle name="表体数字3位 16 8" xfId="2403"/>
    <cellStyle name="表体数字3位 16 9" xfId="2412"/>
    <cellStyle name="表体数字3位 17" xfId="19765"/>
    <cellStyle name="表体数字3位 17 10" xfId="19767"/>
    <cellStyle name="表体数字3位 17 2" xfId="19769"/>
    <cellStyle name="表体数字3位 17 2 2" xfId="19772"/>
    <cellStyle name="表体数字3位 17 2 3" xfId="19774"/>
    <cellStyle name="表体数字3位 17 2 4" xfId="19776"/>
    <cellStyle name="表体数字3位 17 2 5" xfId="19778"/>
    <cellStyle name="表体数字3位 17 2 6" xfId="19780"/>
    <cellStyle name="表体数字3位 17 2 7" xfId="19782"/>
    <cellStyle name="表体数字3位 17 2 8" xfId="19784"/>
    <cellStyle name="表体数字3位 17 3" xfId="19786"/>
    <cellStyle name="表体数字3位 17 3 2" xfId="19791"/>
    <cellStyle name="表体数字3位 17 3 3" xfId="19798"/>
    <cellStyle name="表体数字3位 17 3 4" xfId="19805"/>
    <cellStyle name="表体数字3位 17 3 5" xfId="19812"/>
    <cellStyle name="表体数字3位 17 3 6" xfId="19819"/>
    <cellStyle name="表体数字3位 17 3 7" xfId="19823"/>
    <cellStyle name="表体数字3位 17 3 8" xfId="19825"/>
    <cellStyle name="表体数字3位 17 4" xfId="3381"/>
    <cellStyle name="表体数字3位 17 5" xfId="2435"/>
    <cellStyle name="表体数字3位 17 6" xfId="2440"/>
    <cellStyle name="表体数字3位 17 7" xfId="2447"/>
    <cellStyle name="表体数字3位 17 8" xfId="2453"/>
    <cellStyle name="表体数字3位 17 9" xfId="2461"/>
    <cellStyle name="表体数字3位 18" xfId="19827"/>
    <cellStyle name="表体数字3位 18 10" xfId="19829"/>
    <cellStyle name="表体数字3位 18 2" xfId="19831"/>
    <cellStyle name="表体数字3位 18 2 2" xfId="19833"/>
    <cellStyle name="表体数字3位 18 2 3" xfId="19835"/>
    <cellStyle name="表体数字3位 18 2 4" xfId="19837"/>
    <cellStyle name="表体数字3位 18 2 5" xfId="19839"/>
    <cellStyle name="表体数字3位 18 2 6" xfId="19841"/>
    <cellStyle name="表体数字3位 18 2 7" xfId="19843"/>
    <cellStyle name="表体数字3位 18 2 8" xfId="19845"/>
    <cellStyle name="表体数字3位 18 3" xfId="19847"/>
    <cellStyle name="表体数字3位 18 3 2" xfId="19851"/>
    <cellStyle name="表体数字3位 18 3 3" xfId="19858"/>
    <cellStyle name="表体数字3位 18 3 4" xfId="19865"/>
    <cellStyle name="表体数字3位 18 3 5" xfId="19872"/>
    <cellStyle name="表体数字3位 18 3 6" xfId="19879"/>
    <cellStyle name="表体数字3位 18 3 7" xfId="19883"/>
    <cellStyle name="表体数字3位 18 3 8" xfId="19885"/>
    <cellStyle name="表体数字3位 18 4" xfId="7551"/>
    <cellStyle name="表体数字3位 18 5" xfId="2490"/>
    <cellStyle name="表体数字3位 18 6" xfId="2495"/>
    <cellStyle name="表体数字3位 18 7" xfId="2500"/>
    <cellStyle name="表体数字3位 18 8" xfId="2507"/>
    <cellStyle name="表体数字3位 18 9" xfId="2514"/>
    <cellStyle name="表体数字3位 19" xfId="19887"/>
    <cellStyle name="表体数字3位 19 10" xfId="19889"/>
    <cellStyle name="表体数字3位 19 2" xfId="10524"/>
    <cellStyle name="表体数字3位 19 2 2" xfId="11871"/>
    <cellStyle name="表体数字3位 19 2 3" xfId="11876"/>
    <cellStyle name="表体数字3位 19 2 4" xfId="11881"/>
    <cellStyle name="表体数字3位 19 2 5" xfId="14005"/>
    <cellStyle name="表体数字3位 19 2 6" xfId="14009"/>
    <cellStyle name="表体数字3位 19 2 7" xfId="14013"/>
    <cellStyle name="表体数字3位 19 2 8" xfId="5325"/>
    <cellStyle name="表体数字3位 19 3" xfId="10529"/>
    <cellStyle name="表体数字3位 19 3 2" xfId="14019"/>
    <cellStyle name="表体数字3位 19 3 3" xfId="14050"/>
    <cellStyle name="表体数字3位 19 3 4" xfId="14082"/>
    <cellStyle name="表体数字3位 19 3 5" xfId="14091"/>
    <cellStyle name="表体数字3位 19 3 6" xfId="14100"/>
    <cellStyle name="表体数字3位 19 3 7" xfId="14106"/>
    <cellStyle name="表体数字3位 19 3 8" xfId="14110"/>
    <cellStyle name="表体数字3位 19 4" xfId="5339"/>
    <cellStyle name="表体数字3位 19 5" xfId="2540"/>
    <cellStyle name="表体数字3位 19 6" xfId="2548"/>
    <cellStyle name="表体数字3位 19 7" xfId="2554"/>
    <cellStyle name="表体数字3位 19 8" xfId="2560"/>
    <cellStyle name="表体数字3位 19 9" xfId="2568"/>
    <cellStyle name="表体数字3位 2" xfId="19891"/>
    <cellStyle name="表体数字3位 2 10" xfId="19892"/>
    <cellStyle name="表体数字3位 2 10 10" xfId="8029"/>
    <cellStyle name="表体数字3位 2 10 2" xfId="19896"/>
    <cellStyle name="表体数字3位 2 10 2 2" xfId="19897"/>
    <cellStyle name="表体数字3位 2 10 2 3" xfId="19898"/>
    <cellStyle name="表体数字3位 2 10 2 4" xfId="19899"/>
    <cellStyle name="表体数字3位 2 10 2 5" xfId="19900"/>
    <cellStyle name="表体数字3位 2 10 2 6" xfId="19901"/>
    <cellStyle name="表体数字3位 2 10 2 7" xfId="19902"/>
    <cellStyle name="表体数字3位 2 10 2 8" xfId="19903"/>
    <cellStyle name="表体数字3位 2 10 3" xfId="19904"/>
    <cellStyle name="表体数字3位 2 10 3 2" xfId="1697"/>
    <cellStyle name="表体数字3位 2 10 3 3" xfId="1701"/>
    <cellStyle name="表体数字3位 2 10 3 4" xfId="1706"/>
    <cellStyle name="表体数字3位 2 10 3 5" xfId="1709"/>
    <cellStyle name="表体数字3位 2 10 3 6" xfId="1712"/>
    <cellStyle name="表体数字3位 2 10 3 7" xfId="1715"/>
    <cellStyle name="表体数字3位 2 10 3 8" xfId="1094"/>
    <cellStyle name="表体数字3位 2 10 4" xfId="19905"/>
    <cellStyle name="表体数字3位 2 10 5" xfId="19906"/>
    <cellStyle name="表体数字3位 2 10 6" xfId="19907"/>
    <cellStyle name="表体数字3位 2 10 7" xfId="19908"/>
    <cellStyle name="表体数字3位 2 10 8" xfId="19909"/>
    <cellStyle name="表体数字3位 2 10 9" xfId="19910"/>
    <cellStyle name="表体数字3位 2 11" xfId="19911"/>
    <cellStyle name="表体数字3位 2 11 10" xfId="13545"/>
    <cellStyle name="表体数字3位 2 11 2" xfId="19915"/>
    <cellStyle name="表体数字3位 2 11 2 2" xfId="19916"/>
    <cellStyle name="表体数字3位 2 11 2 3" xfId="19917"/>
    <cellStyle name="表体数字3位 2 11 2 4" xfId="19918"/>
    <cellStyle name="表体数字3位 2 11 2 5" xfId="19920"/>
    <cellStyle name="表体数字3位 2 11 2 6" xfId="19921"/>
    <cellStyle name="表体数字3位 2 11 2 7" xfId="19922"/>
    <cellStyle name="表体数字3位 2 11 2 8" xfId="19923"/>
    <cellStyle name="表体数字3位 2 11 3" xfId="19924"/>
    <cellStyle name="表体数字3位 2 11 3 2" xfId="5771"/>
    <cellStyle name="表体数字3位 2 11 3 3" xfId="5580"/>
    <cellStyle name="表体数字3位 2 11 3 4" xfId="5504"/>
    <cellStyle name="表体数字3位 2 11 3 5" xfId="5512"/>
    <cellStyle name="表体数字3位 2 11 3 6" xfId="5586"/>
    <cellStyle name="表体数字3位 2 11 3 7" xfId="5595"/>
    <cellStyle name="表体数字3位 2 11 3 8" xfId="19925"/>
    <cellStyle name="表体数字3位 2 11 4" xfId="19926"/>
    <cellStyle name="表体数字3位 2 11 5" xfId="19927"/>
    <cellStyle name="表体数字3位 2 11 6" xfId="19928"/>
    <cellStyle name="表体数字3位 2 11 7" xfId="19929"/>
    <cellStyle name="表体数字3位 2 11 8" xfId="19930"/>
    <cellStyle name="表体数字3位 2 11 9" xfId="19931"/>
    <cellStyle name="表体数字3位 2 12" xfId="19932"/>
    <cellStyle name="表体数字3位 2 12 10" xfId="19936"/>
    <cellStyle name="表体数字3位 2 12 2" xfId="19939"/>
    <cellStyle name="表体数字3位 2 12 2 2" xfId="19940"/>
    <cellStyle name="表体数字3位 2 12 2 3" xfId="19941"/>
    <cellStyle name="表体数字3位 2 12 2 4" xfId="19942"/>
    <cellStyle name="表体数字3位 2 12 2 5" xfId="19945"/>
    <cellStyle name="表体数字3位 2 12 2 6" xfId="19946"/>
    <cellStyle name="表体数字3位 2 12 2 7" xfId="19947"/>
    <cellStyle name="表体数字3位 2 12 2 8" xfId="19948"/>
    <cellStyle name="表体数字3位 2 12 3" xfId="19949"/>
    <cellStyle name="表体数字3位 2 12 3 2" xfId="19950"/>
    <cellStyle name="表体数字3位 2 12 3 3" xfId="19951"/>
    <cellStyle name="表体数字3位 2 12 3 4" xfId="19952"/>
    <cellStyle name="表体数字3位 2 12 3 5" xfId="19953"/>
    <cellStyle name="表体数字3位 2 12 3 6" xfId="19954"/>
    <cellStyle name="表体数字3位 2 12 3 7" xfId="19955"/>
    <cellStyle name="表体数字3位 2 12 3 8" xfId="19956"/>
    <cellStyle name="表体数字3位 2 12 4" xfId="19957"/>
    <cellStyle name="表体数字3位 2 12 5" xfId="19958"/>
    <cellStyle name="表体数字3位 2 12 6" xfId="19959"/>
    <cellStyle name="表体数字3位 2 12 7" xfId="19960"/>
    <cellStyle name="表体数字3位 2 12 8" xfId="19961"/>
    <cellStyle name="表体数字3位 2 12 9" xfId="19962"/>
    <cellStyle name="表体数字3位 2 13" xfId="19963"/>
    <cellStyle name="表体数字3位 2 13 10" xfId="17859"/>
    <cellStyle name="表体数字3位 2 13 2" xfId="9594"/>
    <cellStyle name="表体数字3位 2 13 2 2" xfId="19969"/>
    <cellStyle name="表体数字3位 2 13 2 3" xfId="9386"/>
    <cellStyle name="表体数字3位 2 13 2 4" xfId="9444"/>
    <cellStyle name="表体数字3位 2 13 2 5" xfId="9493"/>
    <cellStyle name="表体数字3位 2 13 2 6" xfId="9502"/>
    <cellStyle name="表体数字3位 2 13 2 7" xfId="9506"/>
    <cellStyle name="表体数字3位 2 13 2 8" xfId="9509"/>
    <cellStyle name="表体数字3位 2 13 3" xfId="9597"/>
    <cellStyle name="表体数字3位 2 13 3 2" xfId="19970"/>
    <cellStyle name="表体数字3位 2 13 3 3" xfId="19971"/>
    <cellStyle name="表体数字3位 2 13 3 4" xfId="19972"/>
    <cellStyle name="表体数字3位 2 13 3 5" xfId="19973"/>
    <cellStyle name="表体数字3位 2 13 3 6" xfId="19974"/>
    <cellStyle name="表体数字3位 2 13 3 7" xfId="19975"/>
    <cellStyle name="表体数字3位 2 13 3 8" xfId="19976"/>
    <cellStyle name="表体数字3位 2 13 4" xfId="9600"/>
    <cellStyle name="表体数字3位 2 13 5" xfId="9603"/>
    <cellStyle name="表体数字3位 2 13 6" xfId="9606"/>
    <cellStyle name="表体数字3位 2 13 7" xfId="9609"/>
    <cellStyle name="表体数字3位 2 13 8" xfId="9637"/>
    <cellStyle name="表体数字3位 2 13 9" xfId="9639"/>
    <cellStyle name="表体数字3位 2 14" xfId="19977"/>
    <cellStyle name="表体数字3位 2 14 10" xfId="19983"/>
    <cellStyle name="表体数字3位 2 14 2" xfId="19991"/>
    <cellStyle name="表体数字3位 2 14 2 2" xfId="9023"/>
    <cellStyle name="表体数字3位 2 14 2 3" xfId="9062"/>
    <cellStyle name="表体数字3位 2 14 2 4" xfId="9065"/>
    <cellStyle name="表体数字3位 2 14 2 5" xfId="9070"/>
    <cellStyle name="表体数字3位 2 14 2 6" xfId="9073"/>
    <cellStyle name="表体数字3位 2 14 2 7" xfId="9077"/>
    <cellStyle name="表体数字3位 2 14 2 8" xfId="9080"/>
    <cellStyle name="表体数字3位 2 14 3" xfId="19993"/>
    <cellStyle name="表体数字3位 2 14 3 2" xfId="19995"/>
    <cellStyle name="表体数字3位 2 14 3 3" xfId="19997"/>
    <cellStyle name="表体数字3位 2 14 3 4" xfId="19999"/>
    <cellStyle name="表体数字3位 2 14 3 5" xfId="20001"/>
    <cellStyle name="表体数字3位 2 14 3 6" xfId="20003"/>
    <cellStyle name="表体数字3位 2 14 3 7" xfId="20005"/>
    <cellStyle name="表体数字3位 2 14 3 8" xfId="20007"/>
    <cellStyle name="表体数字3位 2 14 4" xfId="20009"/>
    <cellStyle name="表体数字3位 2 14 5" xfId="20011"/>
    <cellStyle name="表体数字3位 2 14 6" xfId="20013"/>
    <cellStyle name="表体数字3位 2 14 7" xfId="20015"/>
    <cellStyle name="表体数字3位 2 14 8" xfId="20017"/>
    <cellStyle name="表体数字3位 2 14 9" xfId="20019"/>
    <cellStyle name="表体数字3位 2 15" xfId="19984"/>
    <cellStyle name="表体数字3位 2 15 10" xfId="20020"/>
    <cellStyle name="表体数字3位 2 15 2" xfId="20024"/>
    <cellStyle name="表体数字3位 2 15 2 2" xfId="20027"/>
    <cellStyle name="表体数字3位 2 15 2 3" xfId="20030"/>
    <cellStyle name="表体数字3位 2 15 2 4" xfId="20033"/>
    <cellStyle name="表体数字3位 2 15 2 5" xfId="20038"/>
    <cellStyle name="表体数字3位 2 15 2 6" xfId="20041"/>
    <cellStyle name="表体数字3位 2 15 2 7" xfId="20044"/>
    <cellStyle name="表体数字3位 2 15 2 8" xfId="20047"/>
    <cellStyle name="表体数字3位 2 15 3" xfId="20050"/>
    <cellStyle name="表体数字3位 2 15 3 2" xfId="20053"/>
    <cellStyle name="表体数字3位 2 15 3 3" xfId="20055"/>
    <cellStyle name="表体数字3位 2 15 3 4" xfId="20057"/>
    <cellStyle name="表体数字3位 2 15 3 5" xfId="20059"/>
    <cellStyle name="表体数字3位 2 15 3 6" xfId="20061"/>
    <cellStyle name="表体数字3位 2 15 3 7" xfId="20063"/>
    <cellStyle name="表体数字3位 2 15 3 8" xfId="20065"/>
    <cellStyle name="表体数字3位 2 15 4" xfId="20067"/>
    <cellStyle name="表体数字3位 2 15 5" xfId="20070"/>
    <cellStyle name="表体数字3位 2 15 6" xfId="20073"/>
    <cellStyle name="表体数字3位 2 15 7" xfId="20076"/>
    <cellStyle name="表体数字3位 2 15 8" xfId="20079"/>
    <cellStyle name="表体数字3位 2 15 9" xfId="20082"/>
    <cellStyle name="表体数字3位 2 16" xfId="20084"/>
    <cellStyle name="表体数字3位 2 16 10" xfId="13638"/>
    <cellStyle name="表体数字3位 2 16 2" xfId="20089"/>
    <cellStyle name="表体数字3位 2 16 2 2" xfId="20092"/>
    <cellStyle name="表体数字3位 2 16 2 3" xfId="20095"/>
    <cellStyle name="表体数字3位 2 16 2 4" xfId="20098"/>
    <cellStyle name="表体数字3位 2 16 2 5" xfId="20103"/>
    <cellStyle name="表体数字3位 2 16 2 6" xfId="20106"/>
    <cellStyle name="表体数字3位 2 16 2 7" xfId="20109"/>
    <cellStyle name="表体数字3位 2 16 2 8" xfId="20112"/>
    <cellStyle name="表体数字3位 2 16 3" xfId="20115"/>
    <cellStyle name="表体数字3位 2 16 3 2" xfId="20118"/>
    <cellStyle name="表体数字3位 2 16 3 3" xfId="20120"/>
    <cellStyle name="表体数字3位 2 16 3 4" xfId="20122"/>
    <cellStyle name="表体数字3位 2 16 3 5" xfId="20124"/>
    <cellStyle name="表体数字3位 2 16 3 6" xfId="20126"/>
    <cellStyle name="表体数字3位 2 16 3 7" xfId="20128"/>
    <cellStyle name="表体数字3位 2 16 3 8" xfId="20130"/>
    <cellStyle name="表体数字3位 2 16 4" xfId="20132"/>
    <cellStyle name="表体数字3位 2 16 5" xfId="20135"/>
    <cellStyle name="表体数字3位 2 16 6" xfId="20138"/>
    <cellStyle name="表体数字3位 2 16 7" xfId="20141"/>
    <cellStyle name="表体数字3位 2 16 8" xfId="20144"/>
    <cellStyle name="表体数字3位 2 16 9" xfId="20147"/>
    <cellStyle name="表体数字3位 2 17" xfId="20149"/>
    <cellStyle name="表体数字3位 2 17 10" xfId="20154"/>
    <cellStyle name="表体数字3位 2 17 2" xfId="20156"/>
    <cellStyle name="表体数字3位 2 17 2 2" xfId="20161"/>
    <cellStyle name="表体数字3位 2 17 2 3" xfId="20164"/>
    <cellStyle name="表体数字3位 2 17 2 4" xfId="20167"/>
    <cellStyle name="表体数字3位 2 17 2 5" xfId="20170"/>
    <cellStyle name="表体数字3位 2 17 2 6" xfId="20173"/>
    <cellStyle name="表体数字3位 2 17 2 7" xfId="20176"/>
    <cellStyle name="表体数字3位 2 17 2 8" xfId="20179"/>
    <cellStyle name="表体数字3位 2 17 3" xfId="20182"/>
    <cellStyle name="表体数字3位 2 17 3 2" xfId="20187"/>
    <cellStyle name="表体数字3位 2 17 3 3" xfId="20189"/>
    <cellStyle name="表体数字3位 2 17 3 4" xfId="20191"/>
    <cellStyle name="表体数字3位 2 17 3 5" xfId="20193"/>
    <cellStyle name="表体数字3位 2 17 3 6" xfId="20195"/>
    <cellStyle name="表体数字3位 2 17 3 7" xfId="20197"/>
    <cellStyle name="表体数字3位 2 17 3 8" xfId="20199"/>
    <cellStyle name="表体数字3位 2 17 4" xfId="20201"/>
    <cellStyle name="表体数字3位 2 17 5" xfId="20206"/>
    <cellStyle name="表体数字3位 2 17 6" xfId="20211"/>
    <cellStyle name="表体数字3位 2 17 7" xfId="20214"/>
    <cellStyle name="表体数字3位 2 17 8" xfId="12626"/>
    <cellStyle name="表体数字3位 2 17 9" xfId="20217"/>
    <cellStyle name="表体数字3位 2 18" xfId="20219"/>
    <cellStyle name="表体数字3位 2 18 10" xfId="17915"/>
    <cellStyle name="表体数字3位 2 18 2" xfId="20223"/>
    <cellStyle name="表体数字3位 2 18 2 2" xfId="3983"/>
    <cellStyle name="表体数字3位 2 18 2 3" xfId="5681"/>
    <cellStyle name="表体数字3位 2 18 2 4" xfId="20230"/>
    <cellStyle name="表体数字3位 2 18 2 5" xfId="20233"/>
    <cellStyle name="表体数字3位 2 18 2 6" xfId="20236"/>
    <cellStyle name="表体数字3位 2 18 2 7" xfId="6434"/>
    <cellStyle name="表体数字3位 2 18 2 8" xfId="3089"/>
    <cellStyle name="表体数字3位 2 18 3" xfId="20239"/>
    <cellStyle name="表体数字3位 2 18 3 2" xfId="20246"/>
    <cellStyle name="表体数字3位 2 18 3 3" xfId="20248"/>
    <cellStyle name="表体数字3位 2 18 3 4" xfId="20250"/>
    <cellStyle name="表体数字3位 2 18 3 5" xfId="20252"/>
    <cellStyle name="表体数字3位 2 18 3 6" xfId="20254"/>
    <cellStyle name="表体数字3位 2 18 3 7" xfId="6438"/>
    <cellStyle name="表体数字3位 2 18 3 8" xfId="6441"/>
    <cellStyle name="表体数字3位 2 18 4" xfId="20256"/>
    <cellStyle name="表体数字3位 2 18 5" xfId="20263"/>
    <cellStyle name="表体数字3位 2 18 6" xfId="20270"/>
    <cellStyle name="表体数字3位 2 18 7" xfId="20273"/>
    <cellStyle name="表体数字3位 2 18 8" xfId="20276"/>
    <cellStyle name="表体数字3位 2 18 9" xfId="20279"/>
    <cellStyle name="表体数字3位 2 19" xfId="20281"/>
    <cellStyle name="表体数字3位 2 19 10" xfId="20285"/>
    <cellStyle name="表体数字3位 2 19 2" xfId="20289"/>
    <cellStyle name="表体数字3位 2 19 2 2" xfId="20292"/>
    <cellStyle name="表体数字3位 2 19 2 3" xfId="20295"/>
    <cellStyle name="表体数字3位 2 19 2 4" xfId="20298"/>
    <cellStyle name="表体数字3位 2 19 2 5" xfId="12912"/>
    <cellStyle name="表体数字3位 2 19 2 6" xfId="20301"/>
    <cellStyle name="表体数字3位 2 19 2 7" xfId="4885"/>
    <cellStyle name="表体数字3位 2 19 2 8" xfId="4890"/>
    <cellStyle name="表体数字3位 2 19 3" xfId="20304"/>
    <cellStyle name="表体数字3位 2 19 3 2" xfId="20307"/>
    <cellStyle name="表体数字3位 2 19 3 3" xfId="20309"/>
    <cellStyle name="表体数字3位 2 19 3 4" xfId="20311"/>
    <cellStyle name="表体数字3位 2 19 3 5" xfId="20313"/>
    <cellStyle name="表体数字3位 2 19 3 6" xfId="20315"/>
    <cellStyle name="表体数字3位 2 19 3 7" xfId="6504"/>
    <cellStyle name="表体数字3位 2 19 3 8" xfId="6508"/>
    <cellStyle name="表体数字3位 2 19 4" xfId="20317"/>
    <cellStyle name="表体数字3位 2 19 5" xfId="20320"/>
    <cellStyle name="表体数字3位 2 19 6" xfId="20323"/>
    <cellStyle name="表体数字3位 2 19 7" xfId="20326"/>
    <cellStyle name="表体数字3位 2 19 8" xfId="20329"/>
    <cellStyle name="表体数字3位 2 19 9" xfId="20332"/>
    <cellStyle name="表体数字3位 2 2" xfId="20334"/>
    <cellStyle name="表体数字3位 2 2 10" xfId="20336"/>
    <cellStyle name="表体数字3位 2 2 2" xfId="20338"/>
    <cellStyle name="表体数字3位 2 2 2 2" xfId="20339"/>
    <cellStyle name="表体数字3位 2 2 2 3" xfId="19086"/>
    <cellStyle name="表体数字3位 2 2 2 4" xfId="19089"/>
    <cellStyle name="表体数字3位 2 2 2 5" xfId="19092"/>
    <cellStyle name="表体数字3位 2 2 2 6" xfId="19095"/>
    <cellStyle name="表体数字3位 2 2 2 7" xfId="19098"/>
    <cellStyle name="表体数字3位 2 2 2 8" xfId="19101"/>
    <cellStyle name="表体数字3位 2 2 3" xfId="20340"/>
    <cellStyle name="表体数字3位 2 2 3 2" xfId="1023"/>
    <cellStyle name="表体数字3位 2 2 3 3" xfId="1033"/>
    <cellStyle name="表体数字3位 2 2 3 4" xfId="115"/>
    <cellStyle name="表体数字3位 2 2 3 5" xfId="1045"/>
    <cellStyle name="表体数字3位 2 2 3 6" xfId="1053"/>
    <cellStyle name="表体数字3位 2 2 3 7" xfId="20341"/>
    <cellStyle name="表体数字3位 2 2 3 8" xfId="20344"/>
    <cellStyle name="表体数字3位 2 2 4" xfId="20345"/>
    <cellStyle name="表体数字3位 2 2 5" xfId="20346"/>
    <cellStyle name="表体数字3位 2 2 6" xfId="20347"/>
    <cellStyle name="表体数字3位 2 2 7" xfId="20348"/>
    <cellStyle name="表体数字3位 2 2 8" xfId="20349"/>
    <cellStyle name="表体数字3位 2 2 9" xfId="20350"/>
    <cellStyle name="表体数字3位 2 20" xfId="19985"/>
    <cellStyle name="表体数字3位 2 20 10" xfId="20021"/>
    <cellStyle name="表体数字3位 2 20 2" xfId="20025"/>
    <cellStyle name="表体数字3位 2 20 2 2" xfId="20028"/>
    <cellStyle name="表体数字3位 2 20 2 3" xfId="20031"/>
    <cellStyle name="表体数字3位 2 20 2 4" xfId="20034"/>
    <cellStyle name="表体数字3位 2 20 2 5" xfId="20039"/>
    <cellStyle name="表体数字3位 2 20 2 6" xfId="20042"/>
    <cellStyle name="表体数字3位 2 20 2 7" xfId="20045"/>
    <cellStyle name="表体数字3位 2 20 2 8" xfId="20048"/>
    <cellStyle name="表体数字3位 2 20 3" xfId="20051"/>
    <cellStyle name="表体数字3位 2 20 3 2" xfId="20054"/>
    <cellStyle name="表体数字3位 2 20 3 3" xfId="20056"/>
    <cellStyle name="表体数字3位 2 20 3 4" xfId="20058"/>
    <cellStyle name="表体数字3位 2 20 3 5" xfId="20060"/>
    <cellStyle name="表体数字3位 2 20 3 6" xfId="20062"/>
    <cellStyle name="表体数字3位 2 20 3 7" xfId="20064"/>
    <cellStyle name="表体数字3位 2 20 3 8" xfId="20066"/>
    <cellStyle name="表体数字3位 2 20 4" xfId="20068"/>
    <cellStyle name="表体数字3位 2 20 5" xfId="20071"/>
    <cellStyle name="表体数字3位 2 20 6" xfId="20074"/>
    <cellStyle name="表体数字3位 2 20 7" xfId="20077"/>
    <cellStyle name="表体数字3位 2 20 8" xfId="20080"/>
    <cellStyle name="表体数字3位 2 20 9" xfId="20083"/>
    <cellStyle name="表体数字3位 2 21" xfId="20085"/>
    <cellStyle name="表体数字3位 2 21 10" xfId="13639"/>
    <cellStyle name="表体数字3位 2 21 2" xfId="20090"/>
    <cellStyle name="表体数字3位 2 21 2 2" xfId="20093"/>
    <cellStyle name="表体数字3位 2 21 2 3" xfId="20096"/>
    <cellStyle name="表体数字3位 2 21 2 4" xfId="20099"/>
    <cellStyle name="表体数字3位 2 21 2 5" xfId="20104"/>
    <cellStyle name="表体数字3位 2 21 2 6" xfId="20107"/>
    <cellStyle name="表体数字3位 2 21 2 7" xfId="20110"/>
    <cellStyle name="表体数字3位 2 21 2 8" xfId="20113"/>
    <cellStyle name="表体数字3位 2 21 3" xfId="20116"/>
    <cellStyle name="表体数字3位 2 21 3 2" xfId="20119"/>
    <cellStyle name="表体数字3位 2 21 3 3" xfId="20121"/>
    <cellStyle name="表体数字3位 2 21 3 4" xfId="20123"/>
    <cellStyle name="表体数字3位 2 21 3 5" xfId="20125"/>
    <cellStyle name="表体数字3位 2 21 3 6" xfId="20127"/>
    <cellStyle name="表体数字3位 2 21 3 7" xfId="20129"/>
    <cellStyle name="表体数字3位 2 21 3 8" xfId="20131"/>
    <cellStyle name="表体数字3位 2 21 4" xfId="20133"/>
    <cellStyle name="表体数字3位 2 21 5" xfId="20136"/>
    <cellStyle name="表体数字3位 2 21 6" xfId="20139"/>
    <cellStyle name="表体数字3位 2 21 7" xfId="20142"/>
    <cellStyle name="表体数字3位 2 21 8" xfId="20145"/>
    <cellStyle name="表体数字3位 2 21 9" xfId="20148"/>
    <cellStyle name="表体数字3位 2 22" xfId="20150"/>
    <cellStyle name="表体数字3位 2 22 10" xfId="20155"/>
    <cellStyle name="表体数字3位 2 22 2" xfId="20157"/>
    <cellStyle name="表体数字3位 2 22 2 2" xfId="20162"/>
    <cellStyle name="表体数字3位 2 22 2 3" xfId="20165"/>
    <cellStyle name="表体数字3位 2 22 2 4" xfId="20168"/>
    <cellStyle name="表体数字3位 2 22 2 5" xfId="20171"/>
    <cellStyle name="表体数字3位 2 22 2 6" xfId="20174"/>
    <cellStyle name="表体数字3位 2 22 2 7" xfId="20177"/>
    <cellStyle name="表体数字3位 2 22 2 8" xfId="20180"/>
    <cellStyle name="表体数字3位 2 22 3" xfId="20183"/>
    <cellStyle name="表体数字3位 2 22 3 2" xfId="20188"/>
    <cellStyle name="表体数字3位 2 22 3 3" xfId="20190"/>
    <cellStyle name="表体数字3位 2 22 3 4" xfId="20192"/>
    <cellStyle name="表体数字3位 2 22 3 5" xfId="20194"/>
    <cellStyle name="表体数字3位 2 22 3 6" xfId="20196"/>
    <cellStyle name="表体数字3位 2 22 3 7" xfId="20198"/>
    <cellStyle name="表体数字3位 2 22 3 8" xfId="20200"/>
    <cellStyle name="表体数字3位 2 22 4" xfId="20202"/>
    <cellStyle name="表体数字3位 2 22 5" xfId="20207"/>
    <cellStyle name="表体数字3位 2 22 6" xfId="20212"/>
    <cellStyle name="表体数字3位 2 22 7" xfId="20215"/>
    <cellStyle name="表体数字3位 2 22 8" xfId="12627"/>
    <cellStyle name="表体数字3位 2 22 9" xfId="20218"/>
    <cellStyle name="表体数字3位 2 23" xfId="20220"/>
    <cellStyle name="表体数字3位 2 23 10" xfId="17916"/>
    <cellStyle name="表体数字3位 2 23 2" xfId="20224"/>
    <cellStyle name="表体数字3位 2 23 2 2" xfId="3982"/>
    <cellStyle name="表体数字3位 2 23 2 3" xfId="5682"/>
    <cellStyle name="表体数字3位 2 23 2 4" xfId="20231"/>
    <cellStyle name="表体数字3位 2 23 2 5" xfId="20234"/>
    <cellStyle name="表体数字3位 2 23 2 6" xfId="20237"/>
    <cellStyle name="表体数字3位 2 23 2 7" xfId="6435"/>
    <cellStyle name="表体数字3位 2 23 2 8" xfId="3088"/>
    <cellStyle name="表体数字3位 2 23 3" xfId="20240"/>
    <cellStyle name="表体数字3位 2 23 3 2" xfId="20247"/>
    <cellStyle name="表体数字3位 2 23 3 3" xfId="20249"/>
    <cellStyle name="表体数字3位 2 23 3 4" xfId="20251"/>
    <cellStyle name="表体数字3位 2 23 3 5" xfId="20253"/>
    <cellStyle name="表体数字3位 2 23 3 6" xfId="20255"/>
    <cellStyle name="表体数字3位 2 23 3 7" xfId="6439"/>
    <cellStyle name="表体数字3位 2 23 3 8" xfId="6442"/>
    <cellStyle name="表体数字3位 2 23 4" xfId="20257"/>
    <cellStyle name="表体数字3位 2 23 5" xfId="20264"/>
    <cellStyle name="表体数字3位 2 23 6" xfId="20271"/>
    <cellStyle name="表体数字3位 2 23 7" xfId="20274"/>
    <cellStyle name="表体数字3位 2 23 8" xfId="20277"/>
    <cellStyle name="表体数字3位 2 23 9" xfId="20280"/>
    <cellStyle name="表体数字3位 2 24" xfId="20282"/>
    <cellStyle name="表体数字3位 2 24 10" xfId="20286"/>
    <cellStyle name="表体数字3位 2 24 2" xfId="20290"/>
    <cellStyle name="表体数字3位 2 24 2 2" xfId="20293"/>
    <cellStyle name="表体数字3位 2 24 2 3" xfId="20296"/>
    <cellStyle name="表体数字3位 2 24 2 4" xfId="20299"/>
    <cellStyle name="表体数字3位 2 24 2 5" xfId="12913"/>
    <cellStyle name="表体数字3位 2 24 2 6" xfId="20302"/>
    <cellStyle name="表体数字3位 2 24 2 7" xfId="4886"/>
    <cellStyle name="表体数字3位 2 24 2 8" xfId="4891"/>
    <cellStyle name="表体数字3位 2 24 3" xfId="20305"/>
    <cellStyle name="表体数字3位 2 24 3 2" xfId="20308"/>
    <cellStyle name="表体数字3位 2 24 3 3" xfId="20310"/>
    <cellStyle name="表体数字3位 2 24 3 4" xfId="20312"/>
    <cellStyle name="表体数字3位 2 24 3 5" xfId="20314"/>
    <cellStyle name="表体数字3位 2 24 3 6" xfId="20316"/>
    <cellStyle name="表体数字3位 2 24 3 7" xfId="6505"/>
    <cellStyle name="表体数字3位 2 24 3 8" xfId="6509"/>
    <cellStyle name="表体数字3位 2 24 4" xfId="20318"/>
    <cellStyle name="表体数字3位 2 24 5" xfId="20321"/>
    <cellStyle name="表体数字3位 2 24 6" xfId="20324"/>
    <cellStyle name="表体数字3位 2 24 7" xfId="20327"/>
    <cellStyle name="表体数字3位 2 24 8" xfId="20330"/>
    <cellStyle name="表体数字3位 2 24 9" xfId="20333"/>
    <cellStyle name="表体数字3位 2 25" xfId="20351"/>
    <cellStyle name="表体数字3位 2 25 10" xfId="20353"/>
    <cellStyle name="表体数字3位 2 25 2" xfId="20355"/>
    <cellStyle name="表体数字3位 2 25 2 2" xfId="4983"/>
    <cellStyle name="表体数字3位 2 25 2 3" xfId="20358"/>
    <cellStyle name="表体数字3位 2 25 2 4" xfId="20361"/>
    <cellStyle name="表体数字3位 2 25 2 5" xfId="13119"/>
    <cellStyle name="表体数字3位 2 25 2 6" xfId="20364"/>
    <cellStyle name="表体数字3位 2 25 2 7" xfId="20367"/>
    <cellStyle name="表体数字3位 2 25 2 8" xfId="20370"/>
    <cellStyle name="表体数字3位 2 25 3" xfId="20373"/>
    <cellStyle name="表体数字3位 2 25 3 2" xfId="20376"/>
    <cellStyle name="表体数字3位 2 25 3 3" xfId="20378"/>
    <cellStyle name="表体数字3位 2 25 3 4" xfId="20380"/>
    <cellStyle name="表体数字3位 2 25 3 5" xfId="20382"/>
    <cellStyle name="表体数字3位 2 25 3 6" xfId="20384"/>
    <cellStyle name="表体数字3位 2 25 3 7" xfId="20386"/>
    <cellStyle name="表体数字3位 2 25 3 8" xfId="20388"/>
    <cellStyle name="表体数字3位 2 25 4" xfId="20390"/>
    <cellStyle name="表体数字3位 2 25 5" xfId="20393"/>
    <cellStyle name="表体数字3位 2 25 6" xfId="20396"/>
    <cellStyle name="表体数字3位 2 25 7" xfId="20399"/>
    <cellStyle name="表体数字3位 2 25 8" xfId="20402"/>
    <cellStyle name="表体数字3位 2 25 9" xfId="16244"/>
    <cellStyle name="表体数字3位 2 26" xfId="20405"/>
    <cellStyle name="表体数字3位 2 26 10" xfId="13709"/>
    <cellStyle name="表体数字3位 2 26 2" xfId="20408"/>
    <cellStyle name="表体数字3位 2 26 2 2" xfId="20411"/>
    <cellStyle name="表体数字3位 2 26 2 3" xfId="20414"/>
    <cellStyle name="表体数字3位 2 26 2 4" xfId="20417"/>
    <cellStyle name="表体数字3位 2 26 2 5" xfId="15272"/>
    <cellStyle name="表体数字3位 2 26 2 6" xfId="20420"/>
    <cellStyle name="表体数字3位 2 26 2 7" xfId="20423"/>
    <cellStyle name="表体数字3位 2 26 2 8" xfId="20426"/>
    <cellStyle name="表体数字3位 2 26 3" xfId="20429"/>
    <cellStyle name="表体数字3位 2 26 3 2" xfId="20432"/>
    <cellStyle name="表体数字3位 2 26 3 3" xfId="20434"/>
    <cellStyle name="表体数字3位 2 26 3 4" xfId="20436"/>
    <cellStyle name="表体数字3位 2 26 3 5" xfId="20438"/>
    <cellStyle name="表体数字3位 2 26 3 6" xfId="20440"/>
    <cellStyle name="表体数字3位 2 26 3 7" xfId="20442"/>
    <cellStyle name="表体数字3位 2 26 3 8" xfId="20444"/>
    <cellStyle name="表体数字3位 2 26 4" xfId="20446"/>
    <cellStyle name="表体数字3位 2 26 5" xfId="20449"/>
    <cellStyle name="表体数字3位 2 26 6" xfId="20452"/>
    <cellStyle name="表体数字3位 2 26 7" xfId="20455"/>
    <cellStyle name="表体数字3位 2 26 8" xfId="20458"/>
    <cellStyle name="表体数字3位 2 26 9" xfId="16262"/>
    <cellStyle name="表体数字3位 2 27" xfId="20461"/>
    <cellStyle name="表体数字3位 2 27 10" xfId="20464"/>
    <cellStyle name="表体数字3位 2 27 2" xfId="20466"/>
    <cellStyle name="表体数字3位 2 27 2 2" xfId="17337"/>
    <cellStyle name="表体数字3位 2 27 2 3" xfId="17341"/>
    <cellStyle name="表体数字3位 2 27 2 4" xfId="8131"/>
    <cellStyle name="表体数字3位 2 27 2 5" xfId="8138"/>
    <cellStyle name="表体数字3位 2 27 2 6" xfId="8143"/>
    <cellStyle name="表体数字3位 2 27 2 7" xfId="8148"/>
    <cellStyle name="表体数字3位 2 27 2 8" xfId="8152"/>
    <cellStyle name="表体数字3位 2 27 3" xfId="20468"/>
    <cellStyle name="表体数字3位 2 27 3 2" xfId="17377"/>
    <cellStyle name="表体数字3位 2 27 3 3" xfId="17381"/>
    <cellStyle name="表体数字3位 2 27 3 4" xfId="8195"/>
    <cellStyle name="表体数字3位 2 27 3 5" xfId="8200"/>
    <cellStyle name="表体数字3位 2 27 3 6" xfId="8205"/>
    <cellStyle name="表体数字3位 2 27 3 7" xfId="8210"/>
    <cellStyle name="表体数字3位 2 27 3 8" xfId="8213"/>
    <cellStyle name="表体数字3位 2 27 4" xfId="20470"/>
    <cellStyle name="表体数字3位 2 27 5" xfId="20472"/>
    <cellStyle name="表体数字3位 2 27 6" xfId="20474"/>
    <cellStyle name="表体数字3位 2 27 7" xfId="20476"/>
    <cellStyle name="表体数字3位 2 27 8" xfId="20478"/>
    <cellStyle name="表体数字3位 2 27 9" xfId="20480"/>
    <cellStyle name="表体数字3位 2 28" xfId="20482"/>
    <cellStyle name="表体数字3位 2 28 10" xfId="17971"/>
    <cellStyle name="表体数字3位 2 28 2" xfId="20485"/>
    <cellStyle name="表体数字3位 2 28 2 2" xfId="20487"/>
    <cellStyle name="表体数字3位 2 28 2 3" xfId="20489"/>
    <cellStyle name="表体数字3位 2 28 2 4" xfId="20491"/>
    <cellStyle name="表体数字3位 2 28 2 5" xfId="15867"/>
    <cellStyle name="表体数字3位 2 28 2 6" xfId="20493"/>
    <cellStyle name="表体数字3位 2 28 2 7" xfId="20495"/>
    <cellStyle name="表体数字3位 2 28 2 8" xfId="20497"/>
    <cellStyle name="表体数字3位 2 28 3" xfId="20499"/>
    <cellStyle name="表体数字3位 2 28 3 2" xfId="20501"/>
    <cellStyle name="表体数字3位 2 28 3 3" xfId="20503"/>
    <cellStyle name="表体数字3位 2 28 3 4" xfId="20505"/>
    <cellStyle name="表体数字3位 2 28 3 5" xfId="20507"/>
    <cellStyle name="表体数字3位 2 28 3 6" xfId="20509"/>
    <cellStyle name="表体数字3位 2 28 3 7" xfId="20511"/>
    <cellStyle name="表体数字3位 2 28 3 8" xfId="20513"/>
    <cellStyle name="表体数字3位 2 28 4" xfId="20515"/>
    <cellStyle name="表体数字3位 2 28 5" xfId="1477"/>
    <cellStyle name="表体数字3位 2 28 6" xfId="1483"/>
    <cellStyle name="表体数字3位 2 28 7" xfId="20517"/>
    <cellStyle name="表体数字3位 2 28 8" xfId="20519"/>
    <cellStyle name="表体数字3位 2 28 9" xfId="20521"/>
    <cellStyle name="表体数字3位 2 29" xfId="20523"/>
    <cellStyle name="表体数字3位 2 29 10" xfId="8256"/>
    <cellStyle name="表体数字3位 2 29 2" xfId="20526"/>
    <cellStyle name="表体数字3位 2 29 2 2" xfId="20528"/>
    <cellStyle name="表体数字3位 2 29 2 3" xfId="20530"/>
    <cellStyle name="表体数字3位 2 29 2 4" xfId="20532"/>
    <cellStyle name="表体数字3位 2 29 2 5" xfId="16132"/>
    <cellStyle name="表体数字3位 2 29 2 6" xfId="20534"/>
    <cellStyle name="表体数字3位 2 29 2 7" xfId="20536"/>
    <cellStyle name="表体数字3位 2 29 2 8" xfId="20538"/>
    <cellStyle name="表体数字3位 2 29 3" xfId="20540"/>
    <cellStyle name="表体数字3位 2 29 3 2" xfId="20542"/>
    <cellStyle name="表体数字3位 2 29 3 3" xfId="20544"/>
    <cellStyle name="表体数字3位 2 29 3 4" xfId="20546"/>
    <cellStyle name="表体数字3位 2 29 3 5" xfId="20548"/>
    <cellStyle name="表体数字3位 2 29 3 6" xfId="20550"/>
    <cellStyle name="表体数字3位 2 29 3 7" xfId="20552"/>
    <cellStyle name="表体数字3位 2 29 3 8" xfId="20554"/>
    <cellStyle name="表体数字3位 2 29 4" xfId="20556"/>
    <cellStyle name="表体数字3位 2 29 5" xfId="1495"/>
    <cellStyle name="表体数字3位 2 29 6" xfId="1501"/>
    <cellStyle name="表体数字3位 2 29 7" xfId="20558"/>
    <cellStyle name="表体数字3位 2 29 8" xfId="20560"/>
    <cellStyle name="表体数字3位 2 29 9" xfId="20564"/>
    <cellStyle name="表体数字3位 2 3" xfId="19992"/>
    <cellStyle name="表体数字3位 2 3 10" xfId="8995"/>
    <cellStyle name="表体数字3位 2 3 2" xfId="9024"/>
    <cellStyle name="表体数字3位 2 3 2 2" xfId="1800"/>
    <cellStyle name="表体数字3位 2 3 2 3" xfId="1807"/>
    <cellStyle name="表体数字3位 2 3 2 4" xfId="1816"/>
    <cellStyle name="表体数字3位 2 3 2 5" xfId="1827"/>
    <cellStyle name="表体数字3位 2 3 2 6" xfId="1838"/>
    <cellStyle name="表体数字3位 2 3 2 7" xfId="1843"/>
    <cellStyle name="表体数字3位 2 3 2 8" xfId="9053"/>
    <cellStyle name="表体数字3位 2 3 3" xfId="9063"/>
    <cellStyle name="表体数字3位 2 3 3 2" xfId="819"/>
    <cellStyle name="表体数字3位 2 3 3 3" xfId="90"/>
    <cellStyle name="表体数字3位 2 3 3 4" xfId="323"/>
    <cellStyle name="表体数字3位 2 3 3 5" xfId="825"/>
    <cellStyle name="表体数字3位 2 3 3 6" xfId="832"/>
    <cellStyle name="表体数字3位 2 3 3 7" xfId="837"/>
    <cellStyle name="表体数字3位 2 3 3 8" xfId="20568"/>
    <cellStyle name="表体数字3位 2 3 4" xfId="9066"/>
    <cellStyle name="表体数字3位 2 3 5" xfId="9071"/>
    <cellStyle name="表体数字3位 2 3 6" xfId="9074"/>
    <cellStyle name="表体数字3位 2 3 7" xfId="9078"/>
    <cellStyle name="表体数字3位 2 3 8" xfId="9081"/>
    <cellStyle name="表体数字3位 2 3 9" xfId="20569"/>
    <cellStyle name="表体数字3位 2 30" xfId="20352"/>
    <cellStyle name="表体数字3位 2 30 10" xfId="20354"/>
    <cellStyle name="表体数字3位 2 30 2" xfId="20356"/>
    <cellStyle name="表体数字3位 2 30 2 2" xfId="4984"/>
    <cellStyle name="表体数字3位 2 30 2 3" xfId="20359"/>
    <cellStyle name="表体数字3位 2 30 2 4" xfId="20362"/>
    <cellStyle name="表体数字3位 2 30 2 5" xfId="13120"/>
    <cellStyle name="表体数字3位 2 30 2 6" xfId="20365"/>
    <cellStyle name="表体数字3位 2 30 2 7" xfId="20368"/>
    <cellStyle name="表体数字3位 2 30 2 8" xfId="20371"/>
    <cellStyle name="表体数字3位 2 30 3" xfId="20374"/>
    <cellStyle name="表体数字3位 2 30 3 2" xfId="20377"/>
    <cellStyle name="表体数字3位 2 30 3 3" xfId="20379"/>
    <cellStyle name="表体数字3位 2 30 3 4" xfId="20381"/>
    <cellStyle name="表体数字3位 2 30 3 5" xfId="20383"/>
    <cellStyle name="表体数字3位 2 30 3 6" xfId="20385"/>
    <cellStyle name="表体数字3位 2 30 3 7" xfId="20387"/>
    <cellStyle name="表体数字3位 2 30 3 8" xfId="20389"/>
    <cellStyle name="表体数字3位 2 30 4" xfId="20391"/>
    <cellStyle name="表体数字3位 2 30 5" xfId="20394"/>
    <cellStyle name="表体数字3位 2 30 6" xfId="20397"/>
    <cellStyle name="表体数字3位 2 30 7" xfId="20400"/>
    <cellStyle name="表体数字3位 2 30 8" xfId="20403"/>
    <cellStyle name="表体数字3位 2 30 9" xfId="16245"/>
    <cellStyle name="表体数字3位 2 31" xfId="20406"/>
    <cellStyle name="表体数字3位 2 31 10" xfId="13710"/>
    <cellStyle name="表体数字3位 2 31 2" xfId="20409"/>
    <cellStyle name="表体数字3位 2 31 2 2" xfId="20412"/>
    <cellStyle name="表体数字3位 2 31 2 3" xfId="20415"/>
    <cellStyle name="表体数字3位 2 31 2 4" xfId="20418"/>
    <cellStyle name="表体数字3位 2 31 2 5" xfId="15273"/>
    <cellStyle name="表体数字3位 2 31 2 6" xfId="20421"/>
    <cellStyle name="表体数字3位 2 31 2 7" xfId="20424"/>
    <cellStyle name="表体数字3位 2 31 2 8" xfId="20427"/>
    <cellStyle name="表体数字3位 2 31 3" xfId="20430"/>
    <cellStyle name="表体数字3位 2 31 3 2" xfId="20433"/>
    <cellStyle name="表体数字3位 2 31 3 3" xfId="20435"/>
    <cellStyle name="表体数字3位 2 31 3 4" xfId="20437"/>
    <cellStyle name="表体数字3位 2 31 3 5" xfId="20439"/>
    <cellStyle name="表体数字3位 2 31 3 6" xfId="20441"/>
    <cellStyle name="表体数字3位 2 31 3 7" xfId="20443"/>
    <cellStyle name="表体数字3位 2 31 3 8" xfId="20445"/>
    <cellStyle name="表体数字3位 2 31 4" xfId="20447"/>
    <cellStyle name="表体数字3位 2 31 5" xfId="20450"/>
    <cellStyle name="表体数字3位 2 31 6" xfId="20453"/>
    <cellStyle name="表体数字3位 2 31 7" xfId="20456"/>
    <cellStyle name="表体数字3位 2 31 8" xfId="20459"/>
    <cellStyle name="表体数字3位 2 31 9" xfId="16263"/>
    <cellStyle name="表体数字3位 2 32" xfId="20462"/>
    <cellStyle name="表体数字3位 2 32 10" xfId="20465"/>
    <cellStyle name="表体数字3位 2 32 2" xfId="20467"/>
    <cellStyle name="表体数字3位 2 32 2 2" xfId="17338"/>
    <cellStyle name="表体数字3位 2 32 2 3" xfId="17342"/>
    <cellStyle name="表体数字3位 2 32 2 4" xfId="8132"/>
    <cellStyle name="表体数字3位 2 32 2 5" xfId="8139"/>
    <cellStyle name="表体数字3位 2 32 2 6" xfId="8144"/>
    <cellStyle name="表体数字3位 2 32 2 7" xfId="8149"/>
    <cellStyle name="表体数字3位 2 32 2 8" xfId="8153"/>
    <cellStyle name="表体数字3位 2 32 3" xfId="20469"/>
    <cellStyle name="表体数字3位 2 32 3 2" xfId="17378"/>
    <cellStyle name="表体数字3位 2 32 3 3" xfId="17382"/>
    <cellStyle name="表体数字3位 2 32 3 4" xfId="8196"/>
    <cellStyle name="表体数字3位 2 32 3 5" xfId="8201"/>
    <cellStyle name="表体数字3位 2 32 3 6" xfId="8206"/>
    <cellStyle name="表体数字3位 2 32 3 7" xfId="8211"/>
    <cellStyle name="表体数字3位 2 32 3 8" xfId="8214"/>
    <cellStyle name="表体数字3位 2 32 4" xfId="20471"/>
    <cellStyle name="表体数字3位 2 32 5" xfId="20473"/>
    <cellStyle name="表体数字3位 2 32 6" xfId="20475"/>
    <cellStyle name="表体数字3位 2 32 7" xfId="20477"/>
    <cellStyle name="表体数字3位 2 32 8" xfId="20479"/>
    <cellStyle name="表体数字3位 2 32 9" xfId="20481"/>
    <cellStyle name="表体数字3位 2 33" xfId="20483"/>
    <cellStyle name="表体数字3位 2 33 10" xfId="17972"/>
    <cellStyle name="表体数字3位 2 33 2" xfId="20486"/>
    <cellStyle name="表体数字3位 2 33 2 2" xfId="20488"/>
    <cellStyle name="表体数字3位 2 33 2 3" xfId="20490"/>
    <cellStyle name="表体数字3位 2 33 2 4" xfId="20492"/>
    <cellStyle name="表体数字3位 2 33 2 5" xfId="15868"/>
    <cellStyle name="表体数字3位 2 33 2 6" xfId="20494"/>
    <cellStyle name="表体数字3位 2 33 2 7" xfId="20496"/>
    <cellStyle name="表体数字3位 2 33 2 8" xfId="20498"/>
    <cellStyle name="表体数字3位 2 33 3" xfId="20500"/>
    <cellStyle name="表体数字3位 2 33 3 2" xfId="20502"/>
    <cellStyle name="表体数字3位 2 33 3 3" xfId="20504"/>
    <cellStyle name="表体数字3位 2 33 3 4" xfId="20506"/>
    <cellStyle name="表体数字3位 2 33 3 5" xfId="20508"/>
    <cellStyle name="表体数字3位 2 33 3 6" xfId="20510"/>
    <cellStyle name="表体数字3位 2 33 3 7" xfId="20512"/>
    <cellStyle name="表体数字3位 2 33 3 8" xfId="20514"/>
    <cellStyle name="表体数字3位 2 33 4" xfId="20516"/>
    <cellStyle name="表体数字3位 2 33 5" xfId="1476"/>
    <cellStyle name="表体数字3位 2 33 6" xfId="1482"/>
    <cellStyle name="表体数字3位 2 33 7" xfId="20518"/>
    <cellStyle name="表体数字3位 2 33 8" xfId="20520"/>
    <cellStyle name="表体数字3位 2 33 9" xfId="20522"/>
    <cellStyle name="表体数字3位 2 34" xfId="20524"/>
    <cellStyle name="表体数字3位 2 34 10" xfId="8257"/>
    <cellStyle name="表体数字3位 2 34 2" xfId="20527"/>
    <cellStyle name="表体数字3位 2 34 2 2" xfId="20529"/>
    <cellStyle name="表体数字3位 2 34 2 3" xfId="20531"/>
    <cellStyle name="表体数字3位 2 34 2 4" xfId="20533"/>
    <cellStyle name="表体数字3位 2 34 2 5" xfId="16133"/>
    <cellStyle name="表体数字3位 2 34 2 6" xfId="20535"/>
    <cellStyle name="表体数字3位 2 34 2 7" xfId="20537"/>
    <cellStyle name="表体数字3位 2 34 2 8" xfId="20539"/>
    <cellStyle name="表体数字3位 2 34 3" xfId="20541"/>
    <cellStyle name="表体数字3位 2 34 3 2" xfId="20543"/>
    <cellStyle name="表体数字3位 2 34 3 3" xfId="20545"/>
    <cellStyle name="表体数字3位 2 34 3 4" xfId="20547"/>
    <cellStyle name="表体数字3位 2 34 3 5" xfId="20549"/>
    <cellStyle name="表体数字3位 2 34 3 6" xfId="20551"/>
    <cellStyle name="表体数字3位 2 34 3 7" xfId="20553"/>
    <cellStyle name="表体数字3位 2 34 3 8" xfId="20555"/>
    <cellStyle name="表体数字3位 2 34 4" xfId="20557"/>
    <cellStyle name="表体数字3位 2 34 5" xfId="1494"/>
    <cellStyle name="表体数字3位 2 34 6" xfId="1500"/>
    <cellStyle name="表体数字3位 2 34 7" xfId="20559"/>
    <cellStyle name="表体数字3位 2 34 8" xfId="20561"/>
    <cellStyle name="表体数字3位 2 34 9" xfId="20565"/>
    <cellStyle name="表体数字3位 2 35" xfId="20570"/>
    <cellStyle name="表体数字3位 2 35 10" xfId="20573"/>
    <cellStyle name="表体数字3位 2 35 2" xfId="20576"/>
    <cellStyle name="表体数字3位 2 35 2 2" xfId="20578"/>
    <cellStyle name="表体数字3位 2 35 2 3" xfId="20580"/>
    <cellStyle name="表体数字3位 2 35 2 4" xfId="20582"/>
    <cellStyle name="表体数字3位 2 35 2 5" xfId="16335"/>
    <cellStyle name="表体数字3位 2 35 2 6" xfId="20584"/>
    <cellStyle name="表体数字3位 2 35 2 7" xfId="20586"/>
    <cellStyle name="表体数字3位 2 35 2 8" xfId="20588"/>
    <cellStyle name="表体数字3位 2 35 3" xfId="20590"/>
    <cellStyle name="表体数字3位 2 35 3 2" xfId="20592"/>
    <cellStyle name="表体数字3位 2 35 3 3" xfId="20594"/>
    <cellStyle name="表体数字3位 2 35 3 4" xfId="20596"/>
    <cellStyle name="表体数字3位 2 35 3 5" xfId="20598"/>
    <cellStyle name="表体数字3位 2 35 3 6" xfId="20600"/>
    <cellStyle name="表体数字3位 2 35 3 7" xfId="20602"/>
    <cellStyle name="表体数字3位 2 35 3 8" xfId="20604"/>
    <cellStyle name="表体数字3位 2 35 4" xfId="20606"/>
    <cellStyle name="表体数字3位 2 35 5" xfId="1514"/>
    <cellStyle name="表体数字3位 2 35 6" xfId="1521"/>
    <cellStyle name="表体数字3位 2 35 7" xfId="20608"/>
    <cellStyle name="表体数字3位 2 35 8" xfId="20610"/>
    <cellStyle name="表体数字3位 2 35 9" xfId="20614"/>
    <cellStyle name="表体数字3位 2 36" xfId="20618"/>
    <cellStyle name="表体数字3位 2 36 10" xfId="13803"/>
    <cellStyle name="表体数字3位 2 36 2" xfId="20621"/>
    <cellStyle name="表体数字3位 2 36 2 2" xfId="20623"/>
    <cellStyle name="表体数字3位 2 36 2 3" xfId="20625"/>
    <cellStyle name="表体数字3位 2 36 2 4" xfId="20627"/>
    <cellStyle name="表体数字3位 2 36 2 5" xfId="20629"/>
    <cellStyle name="表体数字3位 2 36 2 6" xfId="20631"/>
    <cellStyle name="表体数字3位 2 36 2 7" xfId="20633"/>
    <cellStyle name="表体数字3位 2 36 2 8" xfId="20635"/>
    <cellStyle name="表体数字3位 2 36 3" xfId="20637"/>
    <cellStyle name="表体数字3位 2 36 3 2" xfId="20639"/>
    <cellStyle name="表体数字3位 2 36 3 3" xfId="20641"/>
    <cellStyle name="表体数字3位 2 36 3 4" xfId="20643"/>
    <cellStyle name="表体数字3位 2 36 3 5" xfId="20645"/>
    <cellStyle name="表体数字3位 2 36 3 6" xfId="20647"/>
    <cellStyle name="表体数字3位 2 36 3 7" xfId="20649"/>
    <cellStyle name="表体数字3位 2 36 3 8" xfId="20651"/>
    <cellStyle name="表体数字3位 2 36 4" xfId="20653"/>
    <cellStyle name="表体数字3位 2 36 5" xfId="1131"/>
    <cellStyle name="表体数字3位 2 36 6" xfId="1140"/>
    <cellStyle name="表体数字3位 2 36 7" xfId="20655"/>
    <cellStyle name="表体数字3位 2 36 8" xfId="20657"/>
    <cellStyle name="表体数字3位 2 36 9" xfId="20659"/>
    <cellStyle name="表体数字3位 2 37" xfId="20662"/>
    <cellStyle name="表体数字3位 2 37 10" xfId="20665"/>
    <cellStyle name="表体数字3位 2 37 2" xfId="20669"/>
    <cellStyle name="表体数字3位 2 37 2 2" xfId="20671"/>
    <cellStyle name="表体数字3位 2 37 2 3" xfId="20673"/>
    <cellStyle name="表体数字3位 2 37 2 4" xfId="20675"/>
    <cellStyle name="表体数字3位 2 37 2 5" xfId="20677"/>
    <cellStyle name="表体数字3位 2 37 2 6" xfId="20679"/>
    <cellStyle name="表体数字3位 2 37 2 7" xfId="20681"/>
    <cellStyle name="表体数字3位 2 37 2 8" xfId="20683"/>
    <cellStyle name="表体数字3位 2 37 3" xfId="20685"/>
    <cellStyle name="表体数字3位 2 37 3 2" xfId="20687"/>
    <cellStyle name="表体数字3位 2 37 3 3" xfId="20689"/>
    <cellStyle name="表体数字3位 2 37 3 4" xfId="20691"/>
    <cellStyle name="表体数字3位 2 37 3 5" xfId="20693"/>
    <cellStyle name="表体数字3位 2 37 3 6" xfId="20695"/>
    <cellStyle name="表体数字3位 2 37 3 7" xfId="20697"/>
    <cellStyle name="表体数字3位 2 37 3 8" xfId="20699"/>
    <cellStyle name="表体数字3位 2 37 4" xfId="20701"/>
    <cellStyle name="表体数字3位 2 37 5" xfId="1154"/>
    <cellStyle name="表体数字3位 2 37 6" xfId="1167"/>
    <cellStyle name="表体数字3位 2 37 7" xfId="20703"/>
    <cellStyle name="表体数字3位 2 37 8" xfId="20705"/>
    <cellStyle name="表体数字3位 2 37 9" xfId="20707"/>
    <cellStyle name="表体数字3位 2 38" xfId="20710"/>
    <cellStyle name="表体数字3位 2 38 10" xfId="18017"/>
    <cellStyle name="表体数字3位 2 38 2" xfId="20712"/>
    <cellStyle name="表体数字3位 2 38 2 2" xfId="20715"/>
    <cellStyle name="表体数字3位 2 38 2 3" xfId="20717"/>
    <cellStyle name="表体数字3位 2 38 2 4" xfId="20719"/>
    <cellStyle name="表体数字3位 2 38 2 5" xfId="20721"/>
    <cellStyle name="表体数字3位 2 38 2 6" xfId="20723"/>
    <cellStyle name="表体数字3位 2 38 2 7" xfId="20725"/>
    <cellStyle name="表体数字3位 2 38 2 8" xfId="20727"/>
    <cellStyle name="表体数字3位 2 38 3" xfId="20729"/>
    <cellStyle name="表体数字3位 2 38 3 2" xfId="20732"/>
    <cellStyle name="表体数字3位 2 38 3 3" xfId="20734"/>
    <cellStyle name="表体数字3位 2 38 3 4" xfId="20736"/>
    <cellStyle name="表体数字3位 2 38 3 5" xfId="20738"/>
    <cellStyle name="表体数字3位 2 38 3 6" xfId="20740"/>
    <cellStyle name="表体数字3位 2 38 3 7" xfId="20742"/>
    <cellStyle name="表体数字3位 2 38 3 8" xfId="20744"/>
    <cellStyle name="表体数字3位 2 38 4" xfId="20746"/>
    <cellStyle name="表体数字3位 2 38 5" xfId="1551"/>
    <cellStyle name="表体数字3位 2 38 6" xfId="1561"/>
    <cellStyle name="表体数字3位 2 38 7" xfId="20749"/>
    <cellStyle name="表体数字3位 2 38 8" xfId="20751"/>
    <cellStyle name="表体数字3位 2 38 9" xfId="20753"/>
    <cellStyle name="表体数字3位 2 39" xfId="20755"/>
    <cellStyle name="表体数字3位 2 39 10" xfId="20757"/>
    <cellStyle name="表体数字3位 2 39 2" xfId="20765"/>
    <cellStyle name="表体数字3位 2 39 2 2" xfId="20769"/>
    <cellStyle name="表体数字3位 2 39 2 3" xfId="20771"/>
    <cellStyle name="表体数字3位 2 39 2 4" xfId="20773"/>
    <cellStyle name="表体数字3位 2 39 2 5" xfId="20775"/>
    <cellStyle name="表体数字3位 2 39 2 6" xfId="20777"/>
    <cellStyle name="表体数字3位 2 39 2 7" xfId="20779"/>
    <cellStyle name="表体数字3位 2 39 2 8" xfId="20781"/>
    <cellStyle name="表体数字3位 2 39 3" xfId="20783"/>
    <cellStyle name="表体数字3位 2 39 3 2" xfId="20787"/>
    <cellStyle name="表体数字3位 2 39 3 3" xfId="20789"/>
    <cellStyle name="表体数字3位 2 39 3 4" xfId="20791"/>
    <cellStyle name="表体数字3位 2 39 3 5" xfId="20793"/>
    <cellStyle name="表体数字3位 2 39 3 6" xfId="20795"/>
    <cellStyle name="表体数字3位 2 39 3 7" xfId="20797"/>
    <cellStyle name="表体数字3位 2 39 3 8" xfId="20799"/>
    <cellStyle name="表体数字3位 2 39 4" xfId="20801"/>
    <cellStyle name="表体数字3位 2 39 5" xfId="20804"/>
    <cellStyle name="表体数字3位 2 39 6" xfId="20807"/>
    <cellStyle name="表体数字3位 2 39 7" xfId="20809"/>
    <cellStyle name="表体数字3位 2 39 8" xfId="20811"/>
    <cellStyle name="表体数字3位 2 39 9" xfId="20813"/>
    <cellStyle name="表体数字3位 2 4" xfId="19994"/>
    <cellStyle name="表体数字3位 2 4 10" xfId="20815"/>
    <cellStyle name="表体数字3位 2 4 2" xfId="19996"/>
    <cellStyle name="表体数字3位 2 4 2 2" xfId="2123"/>
    <cellStyle name="表体数字3位 2 4 2 3" xfId="2128"/>
    <cellStyle name="表体数字3位 2 4 2 4" xfId="2134"/>
    <cellStyle name="表体数字3位 2 4 2 5" xfId="2140"/>
    <cellStyle name="表体数字3位 2 4 2 6" xfId="2146"/>
    <cellStyle name="表体数字3位 2 4 2 7" xfId="2152"/>
    <cellStyle name="表体数字3位 2 4 2 8" xfId="19154"/>
    <cellStyle name="表体数字3位 2 4 3" xfId="19998"/>
    <cellStyle name="表体数字3位 2 4 3 2" xfId="2165"/>
    <cellStyle name="表体数字3位 2 4 3 3" xfId="2169"/>
    <cellStyle name="表体数字3位 2 4 3 4" xfId="2173"/>
    <cellStyle name="表体数字3位 2 4 3 5" xfId="2177"/>
    <cellStyle name="表体数字3位 2 4 3 6" xfId="2181"/>
    <cellStyle name="表体数字3位 2 4 3 7" xfId="2187"/>
    <cellStyle name="表体数字3位 2 4 3 8" xfId="20816"/>
    <cellStyle name="表体数字3位 2 4 4" xfId="20000"/>
    <cellStyle name="表体数字3位 2 4 5" xfId="20002"/>
    <cellStyle name="表体数字3位 2 4 6" xfId="20004"/>
    <cellStyle name="表体数字3位 2 4 7" xfId="20006"/>
    <cellStyle name="表体数字3位 2 4 8" xfId="20008"/>
    <cellStyle name="表体数字3位 2 4 9" xfId="20819"/>
    <cellStyle name="表体数字3位 2 40" xfId="20571"/>
    <cellStyle name="表体数字3位 2 40 10" xfId="20574"/>
    <cellStyle name="表体数字3位 2 40 2" xfId="20577"/>
    <cellStyle name="表体数字3位 2 40 2 2" xfId="20579"/>
    <cellStyle name="表体数字3位 2 40 2 3" xfId="20581"/>
    <cellStyle name="表体数字3位 2 40 2 4" xfId="20583"/>
    <cellStyle name="表体数字3位 2 40 2 5" xfId="16336"/>
    <cellStyle name="表体数字3位 2 40 2 6" xfId="20585"/>
    <cellStyle name="表体数字3位 2 40 2 7" xfId="20587"/>
    <cellStyle name="表体数字3位 2 40 2 8" xfId="20589"/>
    <cellStyle name="表体数字3位 2 40 3" xfId="20591"/>
    <cellStyle name="表体数字3位 2 40 3 2" xfId="20593"/>
    <cellStyle name="表体数字3位 2 40 3 3" xfId="20595"/>
    <cellStyle name="表体数字3位 2 40 3 4" xfId="20597"/>
    <cellStyle name="表体数字3位 2 40 3 5" xfId="20599"/>
    <cellStyle name="表体数字3位 2 40 3 6" xfId="20601"/>
    <cellStyle name="表体数字3位 2 40 3 7" xfId="20603"/>
    <cellStyle name="表体数字3位 2 40 3 8" xfId="20605"/>
    <cellStyle name="表体数字3位 2 40 4" xfId="20607"/>
    <cellStyle name="表体数字3位 2 40 5" xfId="1513"/>
    <cellStyle name="表体数字3位 2 40 6" xfId="1520"/>
    <cellStyle name="表体数字3位 2 40 7" xfId="20609"/>
    <cellStyle name="表体数字3位 2 40 8" xfId="20611"/>
    <cellStyle name="表体数字3位 2 40 9" xfId="20615"/>
    <cellStyle name="表体数字3位 2 41" xfId="20619"/>
    <cellStyle name="表体数字3位 2 41 10" xfId="13804"/>
    <cellStyle name="表体数字3位 2 41 2" xfId="20622"/>
    <cellStyle name="表体数字3位 2 41 2 2" xfId="20624"/>
    <cellStyle name="表体数字3位 2 41 2 3" xfId="20626"/>
    <cellStyle name="表体数字3位 2 41 2 4" xfId="20628"/>
    <cellStyle name="表体数字3位 2 41 2 5" xfId="20630"/>
    <cellStyle name="表体数字3位 2 41 2 6" xfId="20632"/>
    <cellStyle name="表体数字3位 2 41 2 7" xfId="20634"/>
    <cellStyle name="表体数字3位 2 41 2 8" xfId="20636"/>
    <cellStyle name="表体数字3位 2 41 3" xfId="20638"/>
    <cellStyle name="表体数字3位 2 41 3 2" xfId="20640"/>
    <cellStyle name="表体数字3位 2 41 3 3" xfId="20642"/>
    <cellStyle name="表体数字3位 2 41 3 4" xfId="20644"/>
    <cellStyle name="表体数字3位 2 41 3 5" xfId="20646"/>
    <cellStyle name="表体数字3位 2 41 3 6" xfId="20648"/>
    <cellStyle name="表体数字3位 2 41 3 7" xfId="20650"/>
    <cellStyle name="表体数字3位 2 41 3 8" xfId="20652"/>
    <cellStyle name="表体数字3位 2 41 4" xfId="20654"/>
    <cellStyle name="表体数字3位 2 41 5" xfId="1130"/>
    <cellStyle name="表体数字3位 2 41 6" xfId="1139"/>
    <cellStyle name="表体数字3位 2 41 7" xfId="20656"/>
    <cellStyle name="表体数字3位 2 41 8" xfId="20658"/>
    <cellStyle name="表体数字3位 2 41 9" xfId="20660"/>
    <cellStyle name="表体数字3位 2 42" xfId="20663"/>
    <cellStyle name="表体数字3位 2 42 10" xfId="20666"/>
    <cellStyle name="表体数字3位 2 42 2" xfId="20670"/>
    <cellStyle name="表体数字3位 2 42 2 2" xfId="20672"/>
    <cellStyle name="表体数字3位 2 42 2 3" xfId="20674"/>
    <cellStyle name="表体数字3位 2 42 2 4" xfId="20676"/>
    <cellStyle name="表体数字3位 2 42 2 5" xfId="20678"/>
    <cellStyle name="表体数字3位 2 42 2 6" xfId="20680"/>
    <cellStyle name="表体数字3位 2 42 2 7" xfId="20682"/>
    <cellStyle name="表体数字3位 2 42 2 8" xfId="20684"/>
    <cellStyle name="表体数字3位 2 42 3" xfId="20686"/>
    <cellStyle name="表体数字3位 2 42 3 2" xfId="20688"/>
    <cellStyle name="表体数字3位 2 42 3 3" xfId="20690"/>
    <cellStyle name="表体数字3位 2 42 3 4" xfId="20692"/>
    <cellStyle name="表体数字3位 2 42 3 5" xfId="20694"/>
    <cellStyle name="表体数字3位 2 42 3 6" xfId="20696"/>
    <cellStyle name="表体数字3位 2 42 3 7" xfId="20698"/>
    <cellStyle name="表体数字3位 2 42 3 8" xfId="20700"/>
    <cellStyle name="表体数字3位 2 42 4" xfId="20702"/>
    <cellStyle name="表体数字3位 2 42 5" xfId="1153"/>
    <cellStyle name="表体数字3位 2 42 6" xfId="1166"/>
    <cellStyle name="表体数字3位 2 42 7" xfId="20704"/>
    <cellStyle name="表体数字3位 2 42 8" xfId="20706"/>
    <cellStyle name="表体数字3位 2 42 9" xfId="20708"/>
    <cellStyle name="表体数字3位 2 43" xfId="20711"/>
    <cellStyle name="表体数字3位 2 43 10" xfId="18018"/>
    <cellStyle name="表体数字3位 2 43 2" xfId="20713"/>
    <cellStyle name="表体数字3位 2 43 2 2" xfId="20716"/>
    <cellStyle name="表体数字3位 2 43 2 3" xfId="20718"/>
    <cellStyle name="表体数字3位 2 43 2 4" xfId="20720"/>
    <cellStyle name="表体数字3位 2 43 2 5" xfId="20722"/>
    <cellStyle name="表体数字3位 2 43 2 6" xfId="20724"/>
    <cellStyle name="表体数字3位 2 43 2 7" xfId="20726"/>
    <cellStyle name="表体数字3位 2 43 2 8" xfId="20728"/>
    <cellStyle name="表体数字3位 2 43 3" xfId="20730"/>
    <cellStyle name="表体数字3位 2 43 3 2" xfId="20733"/>
    <cellStyle name="表体数字3位 2 43 3 3" xfId="20735"/>
    <cellStyle name="表体数字3位 2 43 3 4" xfId="20737"/>
    <cellStyle name="表体数字3位 2 43 3 5" xfId="20739"/>
    <cellStyle name="表体数字3位 2 43 3 6" xfId="20741"/>
    <cellStyle name="表体数字3位 2 43 3 7" xfId="20743"/>
    <cellStyle name="表体数字3位 2 43 3 8" xfId="20745"/>
    <cellStyle name="表体数字3位 2 43 4" xfId="20747"/>
    <cellStyle name="表体数字3位 2 43 5" xfId="1550"/>
    <cellStyle name="表体数字3位 2 43 6" xfId="1560"/>
    <cellStyle name="表体数字3位 2 43 7" xfId="20750"/>
    <cellStyle name="表体数字3位 2 43 8" xfId="20752"/>
    <cellStyle name="表体数字3位 2 43 9" xfId="20754"/>
    <cellStyle name="表体数字3位 2 44" xfId="20756"/>
    <cellStyle name="表体数字3位 2 44 10" xfId="20758"/>
    <cellStyle name="表体数字3位 2 44 2" xfId="20766"/>
    <cellStyle name="表体数字3位 2 44 2 2" xfId="20770"/>
    <cellStyle name="表体数字3位 2 44 2 3" xfId="20772"/>
    <cellStyle name="表体数字3位 2 44 2 4" xfId="20774"/>
    <cellStyle name="表体数字3位 2 44 2 5" xfId="20776"/>
    <cellStyle name="表体数字3位 2 44 2 6" xfId="20778"/>
    <cellStyle name="表体数字3位 2 44 2 7" xfId="20780"/>
    <cellStyle name="表体数字3位 2 44 2 8" xfId="20782"/>
    <cellStyle name="表体数字3位 2 44 3" xfId="20784"/>
    <cellStyle name="表体数字3位 2 44 3 2" xfId="20788"/>
    <cellStyle name="表体数字3位 2 44 3 3" xfId="20790"/>
    <cellStyle name="表体数字3位 2 44 3 4" xfId="20792"/>
    <cellStyle name="表体数字3位 2 44 3 5" xfId="20794"/>
    <cellStyle name="表体数字3位 2 44 3 6" xfId="20796"/>
    <cellStyle name="表体数字3位 2 44 3 7" xfId="20798"/>
    <cellStyle name="表体数字3位 2 44 3 8" xfId="20800"/>
    <cellStyle name="表体数字3位 2 44 4" xfId="20802"/>
    <cellStyle name="表体数字3位 2 44 5" xfId="20805"/>
    <cellStyle name="表体数字3位 2 44 6" xfId="20808"/>
    <cellStyle name="表体数字3位 2 44 7" xfId="20810"/>
    <cellStyle name="表体数字3位 2 44 8" xfId="20812"/>
    <cellStyle name="表体数字3位 2 44 9" xfId="20814"/>
    <cellStyle name="表体数字3位 2 45" xfId="20820"/>
    <cellStyle name="表体数字3位 2 45 10" xfId="20822"/>
    <cellStyle name="表体数字3位 2 45 2" xfId="20826"/>
    <cellStyle name="表体数字3位 2 45 2 2" xfId="20829"/>
    <cellStyle name="表体数字3位 2 45 2 3" xfId="20831"/>
    <cellStyle name="表体数字3位 2 45 2 4" xfId="20833"/>
    <cellStyle name="表体数字3位 2 45 2 5" xfId="20835"/>
    <cellStyle name="表体数字3位 2 45 2 6" xfId="20838"/>
    <cellStyle name="表体数字3位 2 45 2 7" xfId="20840"/>
    <cellStyle name="表体数字3位 2 45 2 8" xfId="20842"/>
    <cellStyle name="表体数字3位 2 45 3" xfId="20844"/>
    <cellStyle name="表体数字3位 2 45 3 2" xfId="20847"/>
    <cellStyle name="表体数字3位 2 45 3 3" xfId="20849"/>
    <cellStyle name="表体数字3位 2 45 3 4" xfId="20851"/>
    <cellStyle name="表体数字3位 2 45 3 5" xfId="20853"/>
    <cellStyle name="表体数字3位 2 45 3 6" xfId="20855"/>
    <cellStyle name="表体数字3位 2 45 3 7" xfId="20857"/>
    <cellStyle name="表体数字3位 2 45 3 8" xfId="20859"/>
    <cellStyle name="表体数字3位 2 45 4" xfId="20861"/>
    <cellStyle name="表体数字3位 2 45 5" xfId="20863"/>
    <cellStyle name="表体数字3位 2 45 6" xfId="20865"/>
    <cellStyle name="表体数字3位 2 45 7" xfId="20867"/>
    <cellStyle name="表体数字3位 2 45 8" xfId="20869"/>
    <cellStyle name="表体数字3位 2 45 9" xfId="20871"/>
    <cellStyle name="表体数字3位 2 46" xfId="20873"/>
    <cellStyle name="表体数字3位 2 46 10" xfId="13874"/>
    <cellStyle name="表体数字3位 2 46 2" xfId="20875"/>
    <cellStyle name="表体数字3位 2 46 2 2" xfId="20880"/>
    <cellStyle name="表体数字3位 2 46 2 3" xfId="20884"/>
    <cellStyle name="表体数字3位 2 46 2 4" xfId="20888"/>
    <cellStyle name="表体数字3位 2 46 2 5" xfId="12178"/>
    <cellStyle name="表体数字3位 2 46 2 6" xfId="12182"/>
    <cellStyle name="表体数字3位 2 46 2 7" xfId="20892"/>
    <cellStyle name="表体数字3位 2 46 2 8" xfId="20894"/>
    <cellStyle name="表体数字3位 2 46 3" xfId="20896"/>
    <cellStyle name="表体数字3位 2 46 3 2" xfId="20900"/>
    <cellStyle name="表体数字3位 2 46 3 3" xfId="20904"/>
    <cellStyle name="表体数字3位 2 46 3 4" xfId="20908"/>
    <cellStyle name="表体数字3位 2 46 3 5" xfId="12186"/>
    <cellStyle name="表体数字3位 2 46 3 6" xfId="12189"/>
    <cellStyle name="表体数字3位 2 46 3 7" xfId="20912"/>
    <cellStyle name="表体数字3位 2 46 3 8" xfId="20914"/>
    <cellStyle name="表体数字3位 2 46 4" xfId="20916"/>
    <cellStyle name="表体数字3位 2 46 5" xfId="20918"/>
    <cellStyle name="表体数字3位 2 46 6" xfId="20920"/>
    <cellStyle name="表体数字3位 2 46 7" xfId="20922"/>
    <cellStyle name="表体数字3位 2 46 8" xfId="20924"/>
    <cellStyle name="表体数字3位 2 46 9" xfId="20926"/>
    <cellStyle name="表体数字3位 2 47" xfId="20928"/>
    <cellStyle name="表体数字3位 2 47 10" xfId="20930"/>
    <cellStyle name="表体数字3位 2 47 2" xfId="20932"/>
    <cellStyle name="表体数字3位 2 47 2 2" xfId="20937"/>
    <cellStyle name="表体数字3位 2 47 2 3" xfId="20939"/>
    <cellStyle name="表体数字3位 2 47 2 4" xfId="20941"/>
    <cellStyle name="表体数字3位 2 47 2 5" xfId="12222"/>
    <cellStyle name="表体数字3位 2 47 2 6" xfId="12225"/>
    <cellStyle name="表体数字3位 2 47 2 7" xfId="20943"/>
    <cellStyle name="表体数字3位 2 47 2 8" xfId="20945"/>
    <cellStyle name="表体数字3位 2 47 3" xfId="20947"/>
    <cellStyle name="表体数字3位 2 47 3 2" xfId="20951"/>
    <cellStyle name="表体数字3位 2 47 3 3" xfId="20953"/>
    <cellStyle name="表体数字3位 2 47 3 4" xfId="20955"/>
    <cellStyle name="表体数字3位 2 47 3 5" xfId="12229"/>
    <cellStyle name="表体数字3位 2 47 3 6" xfId="12232"/>
    <cellStyle name="表体数字3位 2 47 3 7" xfId="20957"/>
    <cellStyle name="表体数字3位 2 47 3 8" xfId="20959"/>
    <cellStyle name="表体数字3位 2 47 4" xfId="20961"/>
    <cellStyle name="表体数字3位 2 47 5" xfId="20963"/>
    <cellStyle name="表体数字3位 2 47 6" xfId="20965"/>
    <cellStyle name="表体数字3位 2 47 7" xfId="20967"/>
    <cellStyle name="表体数字3位 2 47 8" xfId="20969"/>
    <cellStyle name="表体数字3位 2 47 9" xfId="20971"/>
    <cellStyle name="表体数字3位 2 48" xfId="20973"/>
    <cellStyle name="表体数字3位 2 48 10" xfId="18071"/>
    <cellStyle name="表体数字3位 2 48 2" xfId="14902"/>
    <cellStyle name="表体数字3位 2 48 2 2" xfId="20977"/>
    <cellStyle name="表体数字3位 2 48 2 3" xfId="20979"/>
    <cellStyle name="表体数字3位 2 48 2 4" xfId="20981"/>
    <cellStyle name="表体数字3位 2 48 2 5" xfId="1468"/>
    <cellStyle name="表体数字3位 2 48 2 6" xfId="20983"/>
    <cellStyle name="表体数字3位 2 48 2 7" xfId="20985"/>
    <cellStyle name="表体数字3位 2 48 2 8" xfId="20987"/>
    <cellStyle name="表体数字3位 2 48 3" xfId="20989"/>
    <cellStyle name="表体数字3位 2 48 3 2" xfId="20993"/>
    <cellStyle name="表体数字3位 2 48 3 3" xfId="20995"/>
    <cellStyle name="表体数字3位 2 48 3 4" xfId="20997"/>
    <cellStyle name="表体数字3位 2 48 3 5" xfId="20999"/>
    <cellStyle name="表体数字3位 2 48 3 6" xfId="21001"/>
    <cellStyle name="表体数字3位 2 48 3 7" xfId="21003"/>
    <cellStyle name="表体数字3位 2 48 3 8" xfId="21005"/>
    <cellStyle name="表体数字3位 2 48 4" xfId="21007"/>
    <cellStyle name="表体数字3位 2 48 5" xfId="21011"/>
    <cellStyle name="表体数字3位 2 48 6" xfId="21015"/>
    <cellStyle name="表体数字3位 2 48 7" xfId="21019"/>
    <cellStyle name="表体数字3位 2 48 8" xfId="21023"/>
    <cellStyle name="表体数字3位 2 48 9" xfId="21027"/>
    <cellStyle name="表体数字3位 2 49" xfId="21029"/>
    <cellStyle name="表体数字3位 2 49 10" xfId="21033"/>
    <cellStyle name="表体数字3位 2 49 2" xfId="14924"/>
    <cellStyle name="表体数字3位 2 49 2 2" xfId="21037"/>
    <cellStyle name="表体数字3位 2 49 2 3" xfId="21039"/>
    <cellStyle name="表体数字3位 2 49 2 4" xfId="21041"/>
    <cellStyle name="表体数字3位 2 49 2 5" xfId="21043"/>
    <cellStyle name="表体数字3位 2 49 2 6" xfId="21045"/>
    <cellStyle name="表体数字3位 2 49 2 7" xfId="21047"/>
    <cellStyle name="表体数字3位 2 49 2 8" xfId="21049"/>
    <cellStyle name="表体数字3位 2 49 3" xfId="21051"/>
    <cellStyle name="表体数字3位 2 49 3 2" xfId="21055"/>
    <cellStyle name="表体数字3位 2 49 3 3" xfId="21057"/>
    <cellStyle name="表体数字3位 2 49 3 4" xfId="21059"/>
    <cellStyle name="表体数字3位 2 49 3 5" xfId="21061"/>
    <cellStyle name="表体数字3位 2 49 3 6" xfId="21063"/>
    <cellStyle name="表体数字3位 2 49 3 7" xfId="21065"/>
    <cellStyle name="表体数字3位 2 49 3 8" xfId="21067"/>
    <cellStyle name="表体数字3位 2 49 4" xfId="21069"/>
    <cellStyle name="表体数字3位 2 49 5" xfId="21073"/>
    <cellStyle name="表体数字3位 2 49 6" xfId="21077"/>
    <cellStyle name="表体数字3位 2 49 7" xfId="21081"/>
    <cellStyle name="表体数字3位 2 49 8" xfId="21085"/>
    <cellStyle name="表体数字3位 2 49 9" xfId="21089"/>
    <cellStyle name="表体数字3位 2 5" xfId="20010"/>
    <cellStyle name="表体数字3位 2 5 10" xfId="21091"/>
    <cellStyle name="表体数字3位 2 5 2" xfId="15939"/>
    <cellStyle name="表体数字3位 2 5 2 2" xfId="2446"/>
    <cellStyle name="表体数字3位 2 5 2 3" xfId="2452"/>
    <cellStyle name="表体数字3位 2 5 2 4" xfId="2460"/>
    <cellStyle name="表体数字3位 2 5 2 5" xfId="2469"/>
    <cellStyle name="表体数字3位 2 5 2 6" xfId="2473"/>
    <cellStyle name="表体数字3位 2 5 2 7" xfId="2477"/>
    <cellStyle name="表体数字3位 2 5 2 8" xfId="19185"/>
    <cellStyle name="表体数字3位 2 5 3" xfId="21092"/>
    <cellStyle name="表体数字3位 2 5 3 2" xfId="2499"/>
    <cellStyle name="表体数字3位 2 5 3 3" xfId="2506"/>
    <cellStyle name="表体数字3位 2 5 3 4" xfId="2513"/>
    <cellStyle name="表体数字3位 2 5 3 5" xfId="2517"/>
    <cellStyle name="表体数字3位 2 5 3 6" xfId="2519"/>
    <cellStyle name="表体数字3位 2 5 3 7" xfId="2527"/>
    <cellStyle name="表体数字3位 2 5 3 8" xfId="21093"/>
    <cellStyle name="表体数字3位 2 5 4" xfId="21094"/>
    <cellStyle name="表体数字3位 2 5 5" xfId="21095"/>
    <cellStyle name="表体数字3位 2 5 6" xfId="21096"/>
    <cellStyle name="表体数字3位 2 5 7" xfId="21097"/>
    <cellStyle name="表体数字3位 2 5 8" xfId="21098"/>
    <cellStyle name="表体数字3位 2 5 9" xfId="21099"/>
    <cellStyle name="表体数字3位 2 50" xfId="20821"/>
    <cellStyle name="表体数字3位 2 50 10" xfId="20823"/>
    <cellStyle name="表体数字3位 2 50 2" xfId="20827"/>
    <cellStyle name="表体数字3位 2 50 2 2" xfId="20830"/>
    <cellStyle name="表体数字3位 2 50 2 3" xfId="20832"/>
    <cellStyle name="表体数字3位 2 50 2 4" xfId="20834"/>
    <cellStyle name="表体数字3位 2 50 2 5" xfId="20836"/>
    <cellStyle name="表体数字3位 2 50 2 6" xfId="20839"/>
    <cellStyle name="表体数字3位 2 50 2 7" xfId="20841"/>
    <cellStyle name="表体数字3位 2 50 2 8" xfId="20843"/>
    <cellStyle name="表体数字3位 2 50 3" xfId="20845"/>
    <cellStyle name="表体数字3位 2 50 3 2" xfId="20848"/>
    <cellStyle name="表体数字3位 2 50 3 3" xfId="20850"/>
    <cellStyle name="表体数字3位 2 50 3 4" xfId="20852"/>
    <cellStyle name="表体数字3位 2 50 3 5" xfId="20854"/>
    <cellStyle name="表体数字3位 2 50 3 6" xfId="20856"/>
    <cellStyle name="表体数字3位 2 50 3 7" xfId="20858"/>
    <cellStyle name="表体数字3位 2 50 3 8" xfId="20860"/>
    <cellStyle name="表体数字3位 2 50 4" xfId="20862"/>
    <cellStyle name="表体数字3位 2 50 5" xfId="20864"/>
    <cellStyle name="表体数字3位 2 50 6" xfId="20866"/>
    <cellStyle name="表体数字3位 2 50 7" xfId="20868"/>
    <cellStyle name="表体数字3位 2 50 8" xfId="20870"/>
    <cellStyle name="表体数字3位 2 50 9" xfId="20872"/>
    <cellStyle name="表体数字3位 2 51" xfId="20874"/>
    <cellStyle name="表体数字3位 2 51 10" xfId="13875"/>
    <cellStyle name="表体数字3位 2 51 2" xfId="20876"/>
    <cellStyle name="表体数字3位 2 51 2 2" xfId="20881"/>
    <cellStyle name="表体数字3位 2 51 2 3" xfId="20885"/>
    <cellStyle name="表体数字3位 2 51 2 4" xfId="20889"/>
    <cellStyle name="表体数字3位 2 51 2 5" xfId="12179"/>
    <cellStyle name="表体数字3位 2 51 2 6" xfId="12183"/>
    <cellStyle name="表体数字3位 2 51 2 7" xfId="20893"/>
    <cellStyle name="表体数字3位 2 51 2 8" xfId="20895"/>
    <cellStyle name="表体数字3位 2 51 3" xfId="20897"/>
    <cellStyle name="表体数字3位 2 51 3 2" xfId="20901"/>
    <cellStyle name="表体数字3位 2 51 3 3" xfId="20905"/>
    <cellStyle name="表体数字3位 2 51 3 4" xfId="20909"/>
    <cellStyle name="表体数字3位 2 51 3 5" xfId="12187"/>
    <cellStyle name="表体数字3位 2 51 3 6" xfId="12190"/>
    <cellStyle name="表体数字3位 2 51 3 7" xfId="20913"/>
    <cellStyle name="表体数字3位 2 51 3 8" xfId="20915"/>
    <cellStyle name="表体数字3位 2 51 4" xfId="20917"/>
    <cellStyle name="表体数字3位 2 51 5" xfId="20919"/>
    <cellStyle name="表体数字3位 2 51 6" xfId="20921"/>
    <cellStyle name="表体数字3位 2 51 7" xfId="20923"/>
    <cellStyle name="表体数字3位 2 51 8" xfId="20925"/>
    <cellStyle name="表体数字3位 2 51 9" xfId="20927"/>
    <cellStyle name="表体数字3位 2 52" xfId="20929"/>
    <cellStyle name="表体数字3位 2 52 10" xfId="20931"/>
    <cellStyle name="表体数字3位 2 52 2" xfId="20933"/>
    <cellStyle name="表体数字3位 2 52 2 2" xfId="20938"/>
    <cellStyle name="表体数字3位 2 52 2 3" xfId="20940"/>
    <cellStyle name="表体数字3位 2 52 2 4" xfId="20942"/>
    <cellStyle name="表体数字3位 2 52 2 5" xfId="12223"/>
    <cellStyle name="表体数字3位 2 52 2 6" xfId="12226"/>
    <cellStyle name="表体数字3位 2 52 2 7" xfId="20944"/>
    <cellStyle name="表体数字3位 2 52 2 8" xfId="20946"/>
    <cellStyle name="表体数字3位 2 52 3" xfId="20948"/>
    <cellStyle name="表体数字3位 2 52 3 2" xfId="20952"/>
    <cellStyle name="表体数字3位 2 52 3 3" xfId="20954"/>
    <cellStyle name="表体数字3位 2 52 3 4" xfId="20956"/>
    <cellStyle name="表体数字3位 2 52 3 5" xfId="12230"/>
    <cellStyle name="表体数字3位 2 52 3 6" xfId="12233"/>
    <cellStyle name="表体数字3位 2 52 3 7" xfId="20958"/>
    <cellStyle name="表体数字3位 2 52 3 8" xfId="20960"/>
    <cellStyle name="表体数字3位 2 52 4" xfId="20962"/>
    <cellStyle name="表体数字3位 2 52 5" xfId="20964"/>
    <cellStyle name="表体数字3位 2 52 6" xfId="20966"/>
    <cellStyle name="表体数字3位 2 52 7" xfId="20968"/>
    <cellStyle name="表体数字3位 2 52 8" xfId="20970"/>
    <cellStyle name="表体数字3位 2 52 9" xfId="20972"/>
    <cellStyle name="表体数字3位 2 53" xfId="20974"/>
    <cellStyle name="表体数字3位 2 53 10" xfId="18072"/>
    <cellStyle name="表体数字3位 2 53 2" xfId="14903"/>
    <cellStyle name="表体数字3位 2 53 2 2" xfId="20978"/>
    <cellStyle name="表体数字3位 2 53 2 3" xfId="20980"/>
    <cellStyle name="表体数字3位 2 53 2 4" xfId="20982"/>
    <cellStyle name="表体数字3位 2 53 2 5" xfId="1467"/>
    <cellStyle name="表体数字3位 2 53 2 6" xfId="20984"/>
    <cellStyle name="表体数字3位 2 53 2 7" xfId="20986"/>
    <cellStyle name="表体数字3位 2 53 2 8" xfId="20988"/>
    <cellStyle name="表体数字3位 2 53 3" xfId="20990"/>
    <cellStyle name="表体数字3位 2 53 3 2" xfId="20994"/>
    <cellStyle name="表体数字3位 2 53 3 3" xfId="20996"/>
    <cellStyle name="表体数字3位 2 53 3 4" xfId="20998"/>
    <cellStyle name="表体数字3位 2 53 3 5" xfId="21000"/>
    <cellStyle name="表体数字3位 2 53 3 6" xfId="21002"/>
    <cellStyle name="表体数字3位 2 53 3 7" xfId="21004"/>
    <cellStyle name="表体数字3位 2 53 3 8" xfId="21006"/>
    <cellStyle name="表体数字3位 2 53 4" xfId="21008"/>
    <cellStyle name="表体数字3位 2 53 5" xfId="21012"/>
    <cellStyle name="表体数字3位 2 53 6" xfId="21016"/>
    <cellStyle name="表体数字3位 2 53 7" xfId="21020"/>
    <cellStyle name="表体数字3位 2 53 8" xfId="21024"/>
    <cellStyle name="表体数字3位 2 53 9" xfId="21028"/>
    <cellStyle name="表体数字3位 2 54" xfId="21030"/>
    <cellStyle name="表体数字3位 2 54 10" xfId="21034"/>
    <cellStyle name="表体数字3位 2 54 2" xfId="14925"/>
    <cellStyle name="表体数字3位 2 54 2 2" xfId="21038"/>
    <cellStyle name="表体数字3位 2 54 2 3" xfId="21040"/>
    <cellStyle name="表体数字3位 2 54 2 4" xfId="21042"/>
    <cellStyle name="表体数字3位 2 54 2 5" xfId="21044"/>
    <cellStyle name="表体数字3位 2 54 2 6" xfId="21046"/>
    <cellStyle name="表体数字3位 2 54 2 7" xfId="21048"/>
    <cellStyle name="表体数字3位 2 54 2 8" xfId="21050"/>
    <cellStyle name="表体数字3位 2 54 3" xfId="21052"/>
    <cellStyle name="表体数字3位 2 54 3 2" xfId="21056"/>
    <cellStyle name="表体数字3位 2 54 3 3" xfId="21058"/>
    <cellStyle name="表体数字3位 2 54 3 4" xfId="21060"/>
    <cellStyle name="表体数字3位 2 54 3 5" xfId="21062"/>
    <cellStyle name="表体数字3位 2 54 3 6" xfId="21064"/>
    <cellStyle name="表体数字3位 2 54 3 7" xfId="21066"/>
    <cellStyle name="表体数字3位 2 54 3 8" xfId="21068"/>
    <cellStyle name="表体数字3位 2 54 4" xfId="21070"/>
    <cellStyle name="表体数字3位 2 54 5" xfId="21074"/>
    <cellStyle name="表体数字3位 2 54 6" xfId="21078"/>
    <cellStyle name="表体数字3位 2 54 7" xfId="21082"/>
    <cellStyle name="表体数字3位 2 54 8" xfId="21086"/>
    <cellStyle name="表体数字3位 2 54 9" xfId="21090"/>
    <cellStyle name="表体数字3位 2 55" xfId="21100"/>
    <cellStyle name="表体数字3位 2 55 10" xfId="21104"/>
    <cellStyle name="表体数字3位 2 55 2" xfId="21106"/>
    <cellStyle name="表体数字3位 2 55 2 2" xfId="21108"/>
    <cellStyle name="表体数字3位 2 55 2 3" xfId="21110"/>
    <cellStyle name="表体数字3位 2 55 2 4" xfId="21112"/>
    <cellStyle name="表体数字3位 2 55 2 5" xfId="8570"/>
    <cellStyle name="表体数字3位 2 55 2 6" xfId="21114"/>
    <cellStyle name="表体数字3位 2 55 2 7" xfId="21116"/>
    <cellStyle name="表体数字3位 2 55 2 8" xfId="21118"/>
    <cellStyle name="表体数字3位 2 55 3" xfId="21120"/>
    <cellStyle name="表体数字3位 2 55 3 2" xfId="19497"/>
    <cellStyle name="表体数字3位 2 55 3 3" xfId="19535"/>
    <cellStyle name="表体数字3位 2 55 3 4" xfId="19581"/>
    <cellStyle name="表体数字3位 2 55 3 5" xfId="19599"/>
    <cellStyle name="表体数字3位 2 55 3 6" xfId="19633"/>
    <cellStyle name="表体数字3位 2 55 3 7" xfId="19665"/>
    <cellStyle name="表体数字3位 2 55 3 8" xfId="19715"/>
    <cellStyle name="表体数字3位 2 55 4" xfId="21122"/>
    <cellStyle name="表体数字3位 2 55 5" xfId="21124"/>
    <cellStyle name="表体数字3位 2 55 6" xfId="21126"/>
    <cellStyle name="表体数字3位 2 55 7" xfId="21128"/>
    <cellStyle name="表体数字3位 2 55 8" xfId="21130"/>
    <cellStyle name="表体数字3位 2 55 9" xfId="21132"/>
    <cellStyle name="表体数字3位 2 56" xfId="21134"/>
    <cellStyle name="表体数字3位 2 56 10" xfId="13937"/>
    <cellStyle name="表体数字3位 2 56 2" xfId="21138"/>
    <cellStyle name="表体数字3位 2 56 2 2" xfId="21140"/>
    <cellStyle name="表体数字3位 2 56 2 3" xfId="21142"/>
    <cellStyle name="表体数字3位 2 56 2 4" xfId="21144"/>
    <cellStyle name="表体数字3位 2 56 2 5" xfId="21146"/>
    <cellStyle name="表体数字3位 2 56 2 6" xfId="21148"/>
    <cellStyle name="表体数字3位 2 56 2 7" xfId="21150"/>
    <cellStyle name="表体数字3位 2 56 2 8" xfId="21152"/>
    <cellStyle name="表体数字3位 2 56 3" xfId="21154"/>
    <cellStyle name="表体数字3位 2 56 3 2" xfId="21156"/>
    <cellStyle name="表体数字3位 2 56 3 3" xfId="21158"/>
    <cellStyle name="表体数字3位 2 56 3 4" xfId="21160"/>
    <cellStyle name="表体数字3位 2 56 3 5" xfId="21162"/>
    <cellStyle name="表体数字3位 2 56 3 6" xfId="21164"/>
    <cellStyle name="表体数字3位 2 56 3 7" xfId="21166"/>
    <cellStyle name="表体数字3位 2 56 3 8" xfId="21168"/>
    <cellStyle name="表体数字3位 2 56 4" xfId="21170"/>
    <cellStyle name="表体数字3位 2 56 5" xfId="21172"/>
    <cellStyle name="表体数字3位 2 56 6" xfId="21174"/>
    <cellStyle name="表体数字3位 2 56 7" xfId="21176"/>
    <cellStyle name="表体数字3位 2 56 8" xfId="21178"/>
    <cellStyle name="表体数字3位 2 56 9" xfId="21180"/>
    <cellStyle name="表体数字3位 2 57" xfId="21182"/>
    <cellStyle name="表体数字3位 2 57 10" xfId="21188"/>
    <cellStyle name="表体数字3位 2 57 2" xfId="21190"/>
    <cellStyle name="表体数字3位 2 57 2 2" xfId="21192"/>
    <cellStyle name="表体数字3位 2 57 2 3" xfId="2751"/>
    <cellStyle name="表体数字3位 2 57 2 4" xfId="4038"/>
    <cellStyle name="表体数字3位 2 57 2 5" xfId="1326"/>
    <cellStyle name="表体数字3位 2 57 2 6" xfId="1333"/>
    <cellStyle name="表体数字3位 2 57 2 7" xfId="5621"/>
    <cellStyle name="表体数字3位 2 57 2 8" xfId="4191"/>
    <cellStyle name="表体数字3位 2 57 3" xfId="21194"/>
    <cellStyle name="表体数字3位 2 57 3 2" xfId="9778"/>
    <cellStyle name="表体数字3位 2 57 3 3" xfId="2771"/>
    <cellStyle name="表体数字3位 2 57 3 4" xfId="2786"/>
    <cellStyle name="表体数字3位 2 57 3 5" xfId="1343"/>
    <cellStyle name="表体数字3位 2 57 3 6" xfId="1350"/>
    <cellStyle name="表体数字3位 2 57 3 7" xfId="2796"/>
    <cellStyle name="表体数字3位 2 57 3 8" xfId="4203"/>
    <cellStyle name="表体数字3位 2 57 4" xfId="2805"/>
    <cellStyle name="表体数字3位 2 57 5" xfId="21196"/>
    <cellStyle name="表体数字3位 2 57 6" xfId="21198"/>
    <cellStyle name="表体数字3位 2 57 7" xfId="21200"/>
    <cellStyle name="表体数字3位 2 57 8" xfId="21202"/>
    <cellStyle name="表体数字3位 2 57 9" xfId="21204"/>
    <cellStyle name="表体数字3位 2 58" xfId="21206"/>
    <cellStyle name="表体数字3位 2 58 10" xfId="18102"/>
    <cellStyle name="表体数字3位 2 58 2" xfId="21210"/>
    <cellStyle name="表体数字3位 2 58 2 2" xfId="21212"/>
    <cellStyle name="表体数字3位 2 58 2 3" xfId="21215"/>
    <cellStyle name="表体数字3位 2 58 2 4" xfId="21218"/>
    <cellStyle name="表体数字3位 2 58 2 5" xfId="21220"/>
    <cellStyle name="表体数字3位 2 58 2 6" xfId="21222"/>
    <cellStyle name="表体数字3位 2 58 2 7" xfId="9033"/>
    <cellStyle name="表体数字3位 2 58 2 8" xfId="9036"/>
    <cellStyle name="表体数字3位 2 58 3" xfId="21224"/>
    <cellStyle name="表体数字3位 2 58 3 2" xfId="21226"/>
    <cellStyle name="表体数字3位 2 58 3 3" xfId="21229"/>
    <cellStyle name="表体数字3位 2 58 3 4" xfId="21232"/>
    <cellStyle name="表体数字3位 2 58 3 5" xfId="21234"/>
    <cellStyle name="表体数字3位 2 58 3 6" xfId="21236"/>
    <cellStyle name="表体数字3位 2 58 3 7" xfId="9039"/>
    <cellStyle name="表体数字3位 2 58 3 8" xfId="9042"/>
    <cellStyle name="表体数字3位 2 58 4" xfId="21238"/>
    <cellStyle name="表体数字3位 2 58 5" xfId="21240"/>
    <cellStyle name="表体数字3位 2 58 6" xfId="21242"/>
    <cellStyle name="表体数字3位 2 58 7" xfId="21244"/>
    <cellStyle name="表体数字3位 2 58 8" xfId="21246"/>
    <cellStyle name="表体数字3位 2 58 9" xfId="21248"/>
    <cellStyle name="表体数字3位 2 59" xfId="21250"/>
    <cellStyle name="表体数字3位 2 59 10" xfId="21254"/>
    <cellStyle name="表体数字3位 2 59 2" xfId="9868"/>
    <cellStyle name="表体数字3位 2 59 2 2" xfId="21258"/>
    <cellStyle name="表体数字3位 2 59 2 3" xfId="247"/>
    <cellStyle name="表体数字3位 2 59 2 4" xfId="706"/>
    <cellStyle name="表体数字3位 2 59 2 5" xfId="21261"/>
    <cellStyle name="表体数字3位 2 59 2 6" xfId="21263"/>
    <cellStyle name="表体数字3位 2 59 2 7" xfId="21265"/>
    <cellStyle name="表体数字3位 2 59 2 8" xfId="21267"/>
    <cellStyle name="表体数字3位 2 59 3" xfId="9872"/>
    <cellStyle name="表体数字3位 2 59 3 2" xfId="9930"/>
    <cellStyle name="表体数字3位 2 59 3 3" xfId="4927"/>
    <cellStyle name="表体数字3位 2 59 3 4" xfId="4932"/>
    <cellStyle name="表体数字3位 2 59 3 5" xfId="9934"/>
    <cellStyle name="表体数字3位 2 59 3 6" xfId="9937"/>
    <cellStyle name="表体数字3位 2 59 3 7" xfId="9940"/>
    <cellStyle name="表体数字3位 2 59 3 8" xfId="21269"/>
    <cellStyle name="表体数字3位 2 59 4" xfId="9875"/>
    <cellStyle name="表体数字3位 2 59 5" xfId="9878"/>
    <cellStyle name="表体数字3位 2 59 6" xfId="9881"/>
    <cellStyle name="表体数字3位 2 59 7" xfId="9884"/>
    <cellStyle name="表体数字3位 2 59 8" xfId="21271"/>
    <cellStyle name="表体数字3位 2 59 9" xfId="21273"/>
    <cellStyle name="表体数字3位 2 6" xfId="20012"/>
    <cellStyle name="表体数字3位 2 6 10" xfId="21275"/>
    <cellStyle name="表体数字3位 2 6 2" xfId="15956"/>
    <cellStyle name="表体数字3位 2 6 2 2" xfId="15595"/>
    <cellStyle name="表体数字3位 2 6 2 3" xfId="15615"/>
    <cellStyle name="表体数字3位 2 6 2 4" xfId="15621"/>
    <cellStyle name="表体数字3位 2 6 2 5" xfId="15626"/>
    <cellStyle name="表体数字3位 2 6 2 6" xfId="15631"/>
    <cellStyle name="表体数字3位 2 6 2 7" xfId="15636"/>
    <cellStyle name="表体数字3位 2 6 2 8" xfId="15641"/>
    <cellStyle name="表体数字3位 2 6 3" xfId="21276"/>
    <cellStyle name="表体数字3位 2 6 3 2" xfId="15664"/>
    <cellStyle name="表体数字3位 2 6 3 3" xfId="15682"/>
    <cellStyle name="表体数字3位 2 6 3 4" xfId="15686"/>
    <cellStyle name="表体数字3位 2 6 3 5" xfId="15689"/>
    <cellStyle name="表体数字3位 2 6 3 6" xfId="15692"/>
    <cellStyle name="表体数字3位 2 6 3 7" xfId="15695"/>
    <cellStyle name="表体数字3位 2 6 3 8" xfId="15698"/>
    <cellStyle name="表体数字3位 2 6 4" xfId="21277"/>
    <cellStyle name="表体数字3位 2 6 5" xfId="21278"/>
    <cellStyle name="表体数字3位 2 6 6" xfId="21279"/>
    <cellStyle name="表体数字3位 2 6 7" xfId="21280"/>
    <cellStyle name="表体数字3位 2 6 8" xfId="21281"/>
    <cellStyle name="表体数字3位 2 6 9" xfId="21282"/>
    <cellStyle name="表体数字3位 2 60" xfId="21101"/>
    <cellStyle name="表体数字3位 2 60 10" xfId="21105"/>
    <cellStyle name="表体数字3位 2 60 2" xfId="21107"/>
    <cellStyle name="表体数字3位 2 60 2 2" xfId="21109"/>
    <cellStyle name="表体数字3位 2 60 2 3" xfId="21111"/>
    <cellStyle name="表体数字3位 2 60 2 4" xfId="21113"/>
    <cellStyle name="表体数字3位 2 60 2 5" xfId="8571"/>
    <cellStyle name="表体数字3位 2 60 2 6" xfId="21115"/>
    <cellStyle name="表体数字3位 2 60 2 7" xfId="21117"/>
    <cellStyle name="表体数字3位 2 60 2 8" xfId="21119"/>
    <cellStyle name="表体数字3位 2 60 3" xfId="21121"/>
    <cellStyle name="表体数字3位 2 60 3 2" xfId="19498"/>
    <cellStyle name="表体数字3位 2 60 3 3" xfId="19536"/>
    <cellStyle name="表体数字3位 2 60 3 4" xfId="19582"/>
    <cellStyle name="表体数字3位 2 60 3 5" xfId="19600"/>
    <cellStyle name="表体数字3位 2 60 3 6" xfId="19634"/>
    <cellStyle name="表体数字3位 2 60 3 7" xfId="19666"/>
    <cellStyle name="表体数字3位 2 60 3 8" xfId="19716"/>
    <cellStyle name="表体数字3位 2 60 4" xfId="21123"/>
    <cellStyle name="表体数字3位 2 60 5" xfId="21125"/>
    <cellStyle name="表体数字3位 2 60 6" xfId="21127"/>
    <cellStyle name="表体数字3位 2 60 7" xfId="21129"/>
    <cellStyle name="表体数字3位 2 60 8" xfId="21131"/>
    <cellStyle name="表体数字3位 2 60 9" xfId="21133"/>
    <cellStyle name="表体数字3位 2 61" xfId="21135"/>
    <cellStyle name="表体数字3位 2 61 10" xfId="13938"/>
    <cellStyle name="表体数字3位 2 61 2" xfId="21139"/>
    <cellStyle name="表体数字3位 2 61 2 2" xfId="21141"/>
    <cellStyle name="表体数字3位 2 61 2 3" xfId="21143"/>
    <cellStyle name="表体数字3位 2 61 2 4" xfId="21145"/>
    <cellStyle name="表体数字3位 2 61 2 5" xfId="21147"/>
    <cellStyle name="表体数字3位 2 61 2 6" xfId="21149"/>
    <cellStyle name="表体数字3位 2 61 2 7" xfId="21151"/>
    <cellStyle name="表体数字3位 2 61 2 8" xfId="21153"/>
    <cellStyle name="表体数字3位 2 61 3" xfId="21155"/>
    <cellStyle name="表体数字3位 2 61 3 2" xfId="21157"/>
    <cellStyle name="表体数字3位 2 61 3 3" xfId="21159"/>
    <cellStyle name="表体数字3位 2 61 3 4" xfId="21161"/>
    <cellStyle name="表体数字3位 2 61 3 5" xfId="21163"/>
    <cellStyle name="表体数字3位 2 61 3 6" xfId="21165"/>
    <cellStyle name="表体数字3位 2 61 3 7" xfId="21167"/>
    <cellStyle name="表体数字3位 2 61 3 8" xfId="21169"/>
    <cellStyle name="表体数字3位 2 61 4" xfId="21171"/>
    <cellStyle name="表体数字3位 2 61 5" xfId="21173"/>
    <cellStyle name="表体数字3位 2 61 6" xfId="21175"/>
    <cellStyle name="表体数字3位 2 61 7" xfId="21177"/>
    <cellStyle name="表体数字3位 2 61 8" xfId="21179"/>
    <cellStyle name="表体数字3位 2 61 9" xfId="21181"/>
    <cellStyle name="表体数字3位 2 62" xfId="21183"/>
    <cellStyle name="表体数字3位 2 62 10" xfId="21189"/>
    <cellStyle name="表体数字3位 2 62 2" xfId="21191"/>
    <cellStyle name="表体数字3位 2 62 2 2" xfId="21193"/>
    <cellStyle name="表体数字3位 2 62 2 3" xfId="2750"/>
    <cellStyle name="表体数字3位 2 62 2 4" xfId="4037"/>
    <cellStyle name="表体数字3位 2 62 2 5" xfId="1325"/>
    <cellStyle name="表体数字3位 2 62 2 6" xfId="1332"/>
    <cellStyle name="表体数字3位 2 62 2 7" xfId="5622"/>
    <cellStyle name="表体数字3位 2 62 2 8" xfId="4192"/>
    <cellStyle name="表体数字3位 2 62 3" xfId="21195"/>
    <cellStyle name="表体数字3位 2 62 3 2" xfId="9779"/>
    <cellStyle name="表体数字3位 2 62 3 3" xfId="2770"/>
    <cellStyle name="表体数字3位 2 62 3 4" xfId="2785"/>
    <cellStyle name="表体数字3位 2 62 3 5" xfId="1342"/>
    <cellStyle name="表体数字3位 2 62 3 6" xfId="1349"/>
    <cellStyle name="表体数字3位 2 62 3 7" xfId="2795"/>
    <cellStyle name="表体数字3位 2 62 3 8" xfId="4204"/>
    <cellStyle name="表体数字3位 2 62 4" xfId="2804"/>
    <cellStyle name="表体数字3位 2 62 5" xfId="21197"/>
    <cellStyle name="表体数字3位 2 62 6" xfId="21199"/>
    <cellStyle name="表体数字3位 2 62 7" xfId="21201"/>
    <cellStyle name="表体数字3位 2 62 8" xfId="21203"/>
    <cellStyle name="表体数字3位 2 62 9" xfId="21205"/>
    <cellStyle name="表体数字3位 2 63" xfId="21207"/>
    <cellStyle name="表体数字3位 2 63 10" xfId="18103"/>
    <cellStyle name="表体数字3位 2 63 2" xfId="21211"/>
    <cellStyle name="表体数字3位 2 63 2 2" xfId="21213"/>
    <cellStyle name="表体数字3位 2 63 2 3" xfId="21216"/>
    <cellStyle name="表体数字3位 2 63 2 4" xfId="21219"/>
    <cellStyle name="表体数字3位 2 63 2 5" xfId="21221"/>
    <cellStyle name="表体数字3位 2 63 2 6" xfId="21223"/>
    <cellStyle name="表体数字3位 2 63 2 7" xfId="9034"/>
    <cellStyle name="表体数字3位 2 63 2 8" xfId="9037"/>
    <cellStyle name="表体数字3位 2 63 3" xfId="21225"/>
    <cellStyle name="表体数字3位 2 63 3 2" xfId="21227"/>
    <cellStyle name="表体数字3位 2 63 3 3" xfId="21230"/>
    <cellStyle name="表体数字3位 2 63 3 4" xfId="21233"/>
    <cellStyle name="表体数字3位 2 63 3 5" xfId="21235"/>
    <cellStyle name="表体数字3位 2 63 3 6" xfId="21237"/>
    <cellStyle name="表体数字3位 2 63 3 7" xfId="9040"/>
    <cellStyle name="表体数字3位 2 63 3 8" xfId="9043"/>
    <cellStyle name="表体数字3位 2 63 4" xfId="21239"/>
    <cellStyle name="表体数字3位 2 63 5" xfId="21241"/>
    <cellStyle name="表体数字3位 2 63 6" xfId="21243"/>
    <cellStyle name="表体数字3位 2 63 7" xfId="21245"/>
    <cellStyle name="表体数字3位 2 63 8" xfId="21247"/>
    <cellStyle name="表体数字3位 2 63 9" xfId="21249"/>
    <cellStyle name="表体数字3位 2 64" xfId="21251"/>
    <cellStyle name="表体数字3位 2 64 10" xfId="21255"/>
    <cellStyle name="表体数字3位 2 64 2" xfId="9869"/>
    <cellStyle name="表体数字3位 2 64 2 2" xfId="21259"/>
    <cellStyle name="表体数字3位 2 64 2 3" xfId="248"/>
    <cellStyle name="表体数字3位 2 64 2 4" xfId="705"/>
    <cellStyle name="表体数字3位 2 64 2 5" xfId="21262"/>
    <cellStyle name="表体数字3位 2 64 2 6" xfId="21264"/>
    <cellStyle name="表体数字3位 2 64 2 7" xfId="21266"/>
    <cellStyle name="表体数字3位 2 64 2 8" xfId="21268"/>
    <cellStyle name="表体数字3位 2 64 3" xfId="9873"/>
    <cellStyle name="表体数字3位 2 64 3 2" xfId="9931"/>
    <cellStyle name="表体数字3位 2 64 3 3" xfId="4928"/>
    <cellStyle name="表体数字3位 2 64 3 4" xfId="4933"/>
    <cellStyle name="表体数字3位 2 64 3 5" xfId="9935"/>
    <cellStyle name="表体数字3位 2 64 3 6" xfId="9938"/>
    <cellStyle name="表体数字3位 2 64 3 7" xfId="9941"/>
    <cellStyle name="表体数字3位 2 64 3 8" xfId="21270"/>
    <cellStyle name="表体数字3位 2 64 4" xfId="9876"/>
    <cellStyle name="表体数字3位 2 64 5" xfId="9879"/>
    <cellStyle name="表体数字3位 2 64 6" xfId="9882"/>
    <cellStyle name="表体数字3位 2 64 7" xfId="9885"/>
    <cellStyle name="表体数字3位 2 64 8" xfId="21272"/>
    <cellStyle name="表体数字3位 2 64 9" xfId="21274"/>
    <cellStyle name="表体数字3位 2 65" xfId="21283"/>
    <cellStyle name="表体数字3位 2 65 10" xfId="9150"/>
    <cellStyle name="表体数字3位 2 65 2" xfId="21287"/>
    <cellStyle name="表体数字3位 2 65 2 2" xfId="21288"/>
    <cellStyle name="表体数字3位 2 65 2 3" xfId="21290"/>
    <cellStyle name="表体数字3位 2 65 2 4" xfId="21292"/>
    <cellStyle name="表体数字3位 2 65 2 5" xfId="21293"/>
    <cellStyle name="表体数字3位 2 65 2 6" xfId="9349"/>
    <cellStyle name="表体数字3位 2 65 2 7" xfId="21294"/>
    <cellStyle name="表体数字3位 2 65 2 8" xfId="21295"/>
    <cellStyle name="表体数字3位 2 65 3" xfId="21296"/>
    <cellStyle name="表体数字3位 2 65 3 2" xfId="9119"/>
    <cellStyle name="表体数字3位 2 65 3 3" xfId="9123"/>
    <cellStyle name="表体数字3位 2 65 3 4" xfId="9127"/>
    <cellStyle name="表体数字3位 2 65 3 5" xfId="9959"/>
    <cellStyle name="表体数字3位 2 65 3 6" xfId="9358"/>
    <cellStyle name="表体数字3位 2 65 3 7" xfId="9961"/>
    <cellStyle name="表体数字3位 2 65 3 8" xfId="21297"/>
    <cellStyle name="表体数字3位 2 65 4" xfId="21298"/>
    <cellStyle name="表体数字3位 2 65 5" xfId="21299"/>
    <cellStyle name="表体数字3位 2 65 6" xfId="21300"/>
    <cellStyle name="表体数字3位 2 65 7" xfId="21301"/>
    <cellStyle name="表体数字3位 2 65 8" xfId="21302"/>
    <cellStyle name="表体数字3位 2 65 9" xfId="21303"/>
    <cellStyle name="表体数字3位 2 66" xfId="21304"/>
    <cellStyle name="表体数字3位 2 66 2" xfId="21306"/>
    <cellStyle name="表体数字3位 2 66 3" xfId="21307"/>
    <cellStyle name="表体数字3位 2 66 4" xfId="21308"/>
    <cellStyle name="表体数字3位 2 66 5" xfId="21309"/>
    <cellStyle name="表体数字3位 2 66 6" xfId="21310"/>
    <cellStyle name="表体数字3位 2 66 7" xfId="21311"/>
    <cellStyle name="表体数字3位 2 66 8" xfId="21312"/>
    <cellStyle name="表体数字3位 2 67" xfId="21313"/>
    <cellStyle name="表体数字3位 2 67 2" xfId="21315"/>
    <cellStyle name="表体数字3位 2 67 3" xfId="21318"/>
    <cellStyle name="表体数字3位 2 67 4" xfId="21321"/>
    <cellStyle name="表体数字3位 2 67 5" xfId="21324"/>
    <cellStyle name="表体数字3位 2 67 6" xfId="21327"/>
    <cellStyle name="表体数字3位 2 67 7" xfId="21328"/>
    <cellStyle name="表体数字3位 2 67 8" xfId="21329"/>
    <cellStyle name="表体数字3位 2 68" xfId="21330"/>
    <cellStyle name="表体数字3位 2 69" xfId="21332"/>
    <cellStyle name="表体数字3位 2 7" xfId="20014"/>
    <cellStyle name="表体数字3位 2 7 10" xfId="21334"/>
    <cellStyle name="表体数字3位 2 7 2" xfId="21336"/>
    <cellStyle name="表体数字3位 2 7 2 2" xfId="21337"/>
    <cellStyle name="表体数字3位 2 7 2 3" xfId="19235"/>
    <cellStyle name="表体数字3位 2 7 2 4" xfId="19238"/>
    <cellStyle name="表体数字3位 2 7 2 5" xfId="19241"/>
    <cellStyle name="表体数字3位 2 7 2 6" xfId="19244"/>
    <cellStyle name="表体数字3位 2 7 2 7" xfId="19245"/>
    <cellStyle name="表体数字3位 2 7 2 8" xfId="19250"/>
    <cellStyle name="表体数字3位 2 7 3" xfId="21338"/>
    <cellStyle name="表体数字3位 2 7 3 2" xfId="21339"/>
    <cellStyle name="表体数字3位 2 7 3 3" xfId="21340"/>
    <cellStyle name="表体数字3位 2 7 3 4" xfId="21341"/>
    <cellStyle name="表体数字3位 2 7 3 5" xfId="21342"/>
    <cellStyle name="表体数字3位 2 7 3 6" xfId="21343"/>
    <cellStyle name="表体数字3位 2 7 3 7" xfId="21344"/>
    <cellStyle name="表体数字3位 2 7 3 8" xfId="21347"/>
    <cellStyle name="表体数字3位 2 7 4" xfId="21350"/>
    <cellStyle name="表体数字3位 2 7 5" xfId="21351"/>
    <cellStyle name="表体数字3位 2 7 6" xfId="21352"/>
    <cellStyle name="表体数字3位 2 7 7" xfId="21353"/>
    <cellStyle name="表体数字3位 2 7 8" xfId="21354"/>
    <cellStyle name="表体数字3位 2 7 9" xfId="21355"/>
    <cellStyle name="表体数字3位 2 70" xfId="21284"/>
    <cellStyle name="表体数字3位 2 71" xfId="21305"/>
    <cellStyle name="表体数字3位 2 72" xfId="21314"/>
    <cellStyle name="表体数字3位 2 73" xfId="21331"/>
    <cellStyle name="表体数字3位 2 74" xfId="21333"/>
    <cellStyle name="表体数字3位 2 8" xfId="20016"/>
    <cellStyle name="表体数字3位 2 8 10" xfId="21356"/>
    <cellStyle name="表体数字3位 2 8 2" xfId="21357"/>
    <cellStyle name="表体数字3位 2 8 2 2" xfId="21358"/>
    <cellStyle name="表体数字3位 2 8 2 3" xfId="19293"/>
    <cellStyle name="表体数字3位 2 8 2 4" xfId="19296"/>
    <cellStyle name="表体数字3位 2 8 2 5" xfId="19299"/>
    <cellStyle name="表体数字3位 2 8 2 6" xfId="19302"/>
    <cellStyle name="表体数字3位 2 8 2 7" xfId="19305"/>
    <cellStyle name="表体数字3位 2 8 2 8" xfId="19308"/>
    <cellStyle name="表体数字3位 2 8 3" xfId="21359"/>
    <cellStyle name="表体数字3位 2 8 3 2" xfId="21360"/>
    <cellStyle name="表体数字3位 2 8 3 3" xfId="21361"/>
    <cellStyle name="表体数字3位 2 8 3 4" xfId="12412"/>
    <cellStyle name="表体数字3位 2 8 3 5" xfId="12414"/>
    <cellStyle name="表体数字3位 2 8 3 6" xfId="12416"/>
    <cellStyle name="表体数字3位 2 8 3 7" xfId="12418"/>
    <cellStyle name="表体数字3位 2 8 3 8" xfId="12420"/>
    <cellStyle name="表体数字3位 2 8 4" xfId="21362"/>
    <cellStyle name="表体数字3位 2 8 5" xfId="21365"/>
    <cellStyle name="表体数字3位 2 8 6" xfId="21366"/>
    <cellStyle name="表体数字3位 2 8 7" xfId="21367"/>
    <cellStyle name="表体数字3位 2 8 8" xfId="21368"/>
    <cellStyle name="表体数字3位 2 8 9" xfId="21369"/>
    <cellStyle name="表体数字3位 2 9" xfId="20018"/>
    <cellStyle name="表体数字3位 2 9 10" xfId="21370"/>
    <cellStyle name="表体数字3位 2 9 2" xfId="21371"/>
    <cellStyle name="表体数字3位 2 9 2 2" xfId="21372"/>
    <cellStyle name="表体数字3位 2 9 2 3" xfId="19359"/>
    <cellStyle name="表体数字3位 2 9 2 4" xfId="19361"/>
    <cellStyle name="表体数字3位 2 9 2 5" xfId="19363"/>
    <cellStyle name="表体数字3位 2 9 2 6" xfId="9005"/>
    <cellStyle name="表体数字3位 2 9 2 7" xfId="19365"/>
    <cellStyle name="表体数字3位 2 9 2 8" xfId="19367"/>
    <cellStyle name="表体数字3位 2 9 3" xfId="21373"/>
    <cellStyle name="表体数字3位 2 9 3 2" xfId="21374"/>
    <cellStyle name="表体数字3位 2 9 3 3" xfId="21375"/>
    <cellStyle name="表体数字3位 2 9 3 4" xfId="21376"/>
    <cellStyle name="表体数字3位 2 9 3 5" xfId="21377"/>
    <cellStyle name="表体数字3位 2 9 3 6" xfId="21378"/>
    <cellStyle name="表体数字3位 2 9 3 7" xfId="21379"/>
    <cellStyle name="表体数字3位 2 9 3 8" xfId="21380"/>
    <cellStyle name="表体数字3位 2 9 4" xfId="21381"/>
    <cellStyle name="表体数字3位 2 9 5" xfId="21382"/>
    <cellStyle name="表体数字3位 2 9 6" xfId="21383"/>
    <cellStyle name="表体数字3位 2 9 7" xfId="21384"/>
    <cellStyle name="表体数字3位 2 9 8" xfId="21385"/>
    <cellStyle name="表体数字3位 2 9 9" xfId="21386"/>
    <cellStyle name="表体数字3位 20" xfId="19668"/>
    <cellStyle name="表体数字3位 20 10" xfId="8743"/>
    <cellStyle name="表体数字3位 20 2" xfId="19670"/>
    <cellStyle name="表体数字3位 20 2 2" xfId="19672"/>
    <cellStyle name="表体数字3位 20 2 3" xfId="19674"/>
    <cellStyle name="表体数字3位 20 2 4" xfId="19676"/>
    <cellStyle name="表体数字3位 20 2 5" xfId="19678"/>
    <cellStyle name="表体数字3位 20 2 6" xfId="19680"/>
    <cellStyle name="表体数字3位 20 2 7" xfId="19682"/>
    <cellStyle name="表体数字3位 20 2 8" xfId="19684"/>
    <cellStyle name="表体数字3位 20 3" xfId="19686"/>
    <cellStyle name="表体数字3位 20 3 2" xfId="19689"/>
    <cellStyle name="表体数字3位 20 3 3" xfId="19694"/>
    <cellStyle name="表体数字3位 20 3 4" xfId="19699"/>
    <cellStyle name="表体数字3位 20 3 5" xfId="19704"/>
    <cellStyle name="表体数字3位 20 3 6" xfId="19709"/>
    <cellStyle name="表体数字3位 20 3 7" xfId="19712"/>
    <cellStyle name="表体数字3位 20 3 8" xfId="19714"/>
    <cellStyle name="表体数字3位 20 4" xfId="6576"/>
    <cellStyle name="表体数字3位 20 5" xfId="1624"/>
    <cellStyle name="表体数字3位 20 6" xfId="1629"/>
    <cellStyle name="表体数字3位 20 7" xfId="2357"/>
    <cellStyle name="表体数字3位 20 8" xfId="2361"/>
    <cellStyle name="表体数字3位 20 9" xfId="2366"/>
    <cellStyle name="表体数字3位 21" xfId="19718"/>
    <cellStyle name="表体数字3位 21 10" xfId="19720"/>
    <cellStyle name="表体数字3位 21 2" xfId="19722"/>
    <cellStyle name="表体数字3位 21 2 2" xfId="19724"/>
    <cellStyle name="表体数字3位 21 2 3" xfId="19726"/>
    <cellStyle name="表体数字3位 21 2 4" xfId="19728"/>
    <cellStyle name="表体数字3位 21 2 5" xfId="19730"/>
    <cellStyle name="表体数字3位 21 2 6" xfId="19732"/>
    <cellStyle name="表体数字3位 21 2 7" xfId="19734"/>
    <cellStyle name="表体数字3位 21 2 8" xfId="19736"/>
    <cellStyle name="表体数字3位 21 3" xfId="19738"/>
    <cellStyle name="表体数字3位 21 3 2" xfId="19741"/>
    <cellStyle name="表体数字3位 21 3 3" xfId="19746"/>
    <cellStyle name="表体数字3位 21 3 4" xfId="19751"/>
    <cellStyle name="表体数字3位 21 3 5" xfId="19756"/>
    <cellStyle name="表体数字3位 21 3 6" xfId="19761"/>
    <cellStyle name="表体数字3位 21 3 7" xfId="19764"/>
    <cellStyle name="表体数字3位 21 3 8" xfId="93"/>
    <cellStyle name="表体数字3位 21 4" xfId="3347"/>
    <cellStyle name="表体数字3位 21 5" xfId="2384"/>
    <cellStyle name="表体数字3位 21 6" xfId="2388"/>
    <cellStyle name="表体数字3位 21 7" xfId="2395"/>
    <cellStyle name="表体数字3位 21 8" xfId="2402"/>
    <cellStyle name="表体数字3位 21 9" xfId="2411"/>
    <cellStyle name="表体数字3位 22" xfId="19766"/>
    <cellStyle name="表体数字3位 22 10" xfId="19768"/>
    <cellStyle name="表体数字3位 22 2" xfId="19770"/>
    <cellStyle name="表体数字3位 22 2 2" xfId="19773"/>
    <cellStyle name="表体数字3位 22 2 3" xfId="19775"/>
    <cellStyle name="表体数字3位 22 2 4" xfId="19777"/>
    <cellStyle name="表体数字3位 22 2 5" xfId="19779"/>
    <cellStyle name="表体数字3位 22 2 6" xfId="19781"/>
    <cellStyle name="表体数字3位 22 2 7" xfId="19783"/>
    <cellStyle name="表体数字3位 22 2 8" xfId="19785"/>
    <cellStyle name="表体数字3位 22 3" xfId="19787"/>
    <cellStyle name="表体数字3位 22 3 2" xfId="19792"/>
    <cellStyle name="表体数字3位 22 3 3" xfId="19799"/>
    <cellStyle name="表体数字3位 22 3 4" xfId="19806"/>
    <cellStyle name="表体数字3位 22 3 5" xfId="19813"/>
    <cellStyle name="表体数字3位 22 3 6" xfId="19820"/>
    <cellStyle name="表体数字3位 22 3 7" xfId="19824"/>
    <cellStyle name="表体数字3位 22 3 8" xfId="19826"/>
    <cellStyle name="表体数字3位 22 4" xfId="3380"/>
    <cellStyle name="表体数字3位 22 5" xfId="2434"/>
    <cellStyle name="表体数字3位 22 6" xfId="2439"/>
    <cellStyle name="表体数字3位 22 7" xfId="2445"/>
    <cellStyle name="表体数字3位 22 8" xfId="2451"/>
    <cellStyle name="表体数字3位 22 9" xfId="2459"/>
    <cellStyle name="表体数字3位 23" xfId="19828"/>
    <cellStyle name="表体数字3位 23 10" xfId="19830"/>
    <cellStyle name="表体数字3位 23 2" xfId="19832"/>
    <cellStyle name="表体数字3位 23 2 2" xfId="19834"/>
    <cellStyle name="表体数字3位 23 2 3" xfId="19836"/>
    <cellStyle name="表体数字3位 23 2 4" xfId="19838"/>
    <cellStyle name="表体数字3位 23 2 5" xfId="19840"/>
    <cellStyle name="表体数字3位 23 2 6" xfId="19842"/>
    <cellStyle name="表体数字3位 23 2 7" xfId="19844"/>
    <cellStyle name="表体数字3位 23 2 8" xfId="19846"/>
    <cellStyle name="表体数字3位 23 3" xfId="19848"/>
    <cellStyle name="表体数字3位 23 3 2" xfId="19852"/>
    <cellStyle name="表体数字3位 23 3 3" xfId="19859"/>
    <cellStyle name="表体数字3位 23 3 4" xfId="19866"/>
    <cellStyle name="表体数字3位 23 3 5" xfId="19873"/>
    <cellStyle name="表体数字3位 23 3 6" xfId="19880"/>
    <cellStyle name="表体数字3位 23 3 7" xfId="19884"/>
    <cellStyle name="表体数字3位 23 3 8" xfId="19886"/>
    <cellStyle name="表体数字3位 23 4" xfId="7552"/>
    <cellStyle name="表体数字3位 23 5" xfId="2489"/>
    <cellStyle name="表体数字3位 23 6" xfId="2494"/>
    <cellStyle name="表体数字3位 23 7" xfId="2498"/>
    <cellStyle name="表体数字3位 23 8" xfId="2505"/>
    <cellStyle name="表体数字3位 23 9" xfId="2512"/>
    <cellStyle name="表体数字3位 24" xfId="19888"/>
    <cellStyle name="表体数字3位 24 10" xfId="19890"/>
    <cellStyle name="表体数字3位 24 2" xfId="10525"/>
    <cellStyle name="表体数字3位 24 2 2" xfId="11872"/>
    <cellStyle name="表体数字3位 24 2 3" xfId="11877"/>
    <cellStyle name="表体数字3位 24 2 4" xfId="11882"/>
    <cellStyle name="表体数字3位 24 2 5" xfId="14006"/>
    <cellStyle name="表体数字3位 24 2 6" xfId="14010"/>
    <cellStyle name="表体数字3位 24 2 7" xfId="14014"/>
    <cellStyle name="表体数字3位 24 2 8" xfId="5326"/>
    <cellStyle name="表体数字3位 24 3" xfId="10530"/>
    <cellStyle name="表体数字3位 24 3 2" xfId="14020"/>
    <cellStyle name="表体数字3位 24 3 3" xfId="14051"/>
    <cellStyle name="表体数字3位 24 3 4" xfId="14083"/>
    <cellStyle name="表体数字3位 24 3 5" xfId="14092"/>
    <cellStyle name="表体数字3位 24 3 6" xfId="14101"/>
    <cellStyle name="表体数字3位 24 3 7" xfId="14107"/>
    <cellStyle name="表体数字3位 24 3 8" xfId="14111"/>
    <cellStyle name="表体数字3位 24 4" xfId="5340"/>
    <cellStyle name="表体数字3位 24 5" xfId="2539"/>
    <cellStyle name="表体数字3位 24 6" xfId="2547"/>
    <cellStyle name="表体数字3位 24 7" xfId="2553"/>
    <cellStyle name="表体数字3位 24 8" xfId="2559"/>
    <cellStyle name="表体数字3位 24 9" xfId="2567"/>
    <cellStyle name="表体数字3位 25" xfId="21387"/>
    <cellStyle name="表体数字3位 25 10" xfId="14636"/>
    <cellStyle name="表体数字3位 25 2" xfId="10535"/>
    <cellStyle name="表体数字3位 25 2 2" xfId="21389"/>
    <cellStyle name="表体数字3位 25 2 3" xfId="21391"/>
    <cellStyle name="表体数字3位 25 2 4" xfId="21393"/>
    <cellStyle name="表体数字3位 25 2 5" xfId="21395"/>
    <cellStyle name="表体数字3位 25 2 6" xfId="21397"/>
    <cellStyle name="表体数字3位 25 2 7" xfId="21399"/>
    <cellStyle name="表体数字3位 25 2 8" xfId="6459"/>
    <cellStyle name="表体数字3位 25 3" xfId="10540"/>
    <cellStyle name="表体数字3位 25 3 2" xfId="21403"/>
    <cellStyle name="表体数字3位 25 3 3" xfId="21410"/>
    <cellStyle name="表体数字3位 25 3 4" xfId="21417"/>
    <cellStyle name="表体数字3位 25 3 5" xfId="21424"/>
    <cellStyle name="表体数字3位 25 3 6" xfId="21431"/>
    <cellStyle name="表体数字3位 25 3 7" xfId="21435"/>
    <cellStyle name="表体数字3位 25 3 8" xfId="21437"/>
    <cellStyle name="表体数字3位 25 4" xfId="10545"/>
    <cellStyle name="表体数字3位 25 5" xfId="10548"/>
    <cellStyle name="表体数字3位 25 6" xfId="21439"/>
    <cellStyle name="表体数字3位 25 7" xfId="21441"/>
    <cellStyle name="表体数字3位 25 8" xfId="4590"/>
    <cellStyle name="表体数字3位 25 9" xfId="4593"/>
    <cellStyle name="表体数字3位 26" xfId="21443"/>
    <cellStyle name="表体数字3位 26 10" xfId="21445"/>
    <cellStyle name="表体数字3位 26 2" xfId="21447"/>
    <cellStyle name="表体数字3位 26 2 2" xfId="21453"/>
    <cellStyle name="表体数字3位 26 2 3" xfId="21455"/>
    <cellStyle name="表体数字3位 26 2 4" xfId="21457"/>
    <cellStyle name="表体数字3位 26 2 5" xfId="21459"/>
    <cellStyle name="表体数字3位 26 2 6" xfId="21461"/>
    <cellStyle name="表体数字3位 26 2 7" xfId="21463"/>
    <cellStyle name="表体数字3位 26 2 8" xfId="21465"/>
    <cellStyle name="表体数字3位 26 3" xfId="21467"/>
    <cellStyle name="表体数字3位 26 3 2" xfId="21473"/>
    <cellStyle name="表体数字3位 26 3 3" xfId="21480"/>
    <cellStyle name="表体数字3位 26 3 4" xfId="21487"/>
    <cellStyle name="表体数字3位 26 3 5" xfId="21494"/>
    <cellStyle name="表体数字3位 26 3 6" xfId="21501"/>
    <cellStyle name="表体数字3位 26 3 7" xfId="21505"/>
    <cellStyle name="表体数字3位 26 3 8" xfId="21507"/>
    <cellStyle name="表体数字3位 26 4" xfId="21509"/>
    <cellStyle name="表体数字3位 26 5" xfId="21511"/>
    <cellStyle name="表体数字3位 26 6" xfId="21513"/>
    <cellStyle name="表体数字3位 26 7" xfId="21515"/>
    <cellStyle name="表体数字3位 26 8" xfId="4602"/>
    <cellStyle name="表体数字3位 26 9" xfId="4606"/>
    <cellStyle name="表体数字3位 27" xfId="21517"/>
    <cellStyle name="表体数字3位 27 10" xfId="21519"/>
    <cellStyle name="表体数字3位 27 2" xfId="21523"/>
    <cellStyle name="表体数字3位 27 2 2" xfId="21526"/>
    <cellStyle name="表体数字3位 27 2 3" xfId="21528"/>
    <cellStyle name="表体数字3位 27 2 4" xfId="21530"/>
    <cellStyle name="表体数字3位 27 2 5" xfId="21532"/>
    <cellStyle name="表体数字3位 27 2 6" xfId="21534"/>
    <cellStyle name="表体数字3位 27 2 7" xfId="21536"/>
    <cellStyle name="表体数字3位 27 2 8" xfId="21538"/>
    <cellStyle name="表体数字3位 27 3" xfId="21540"/>
    <cellStyle name="表体数字3位 27 3 2" xfId="21545"/>
    <cellStyle name="表体数字3位 27 3 3" xfId="21552"/>
    <cellStyle name="表体数字3位 27 3 4" xfId="21560"/>
    <cellStyle name="表体数字3位 27 3 5" xfId="21568"/>
    <cellStyle name="表体数字3位 27 3 6" xfId="21576"/>
    <cellStyle name="表体数字3位 27 3 7" xfId="21580"/>
    <cellStyle name="表体数字3位 27 3 8" xfId="3612"/>
    <cellStyle name="表体数字3位 27 4" xfId="21582"/>
    <cellStyle name="表体数字3位 27 5" xfId="21584"/>
    <cellStyle name="表体数字3位 27 6" xfId="21586"/>
    <cellStyle name="表体数字3位 27 7" xfId="21588"/>
    <cellStyle name="表体数字3位 27 8" xfId="4614"/>
    <cellStyle name="表体数字3位 27 9" xfId="4618"/>
    <cellStyle name="表体数字3位 28" xfId="21590"/>
    <cellStyle name="表体数字3位 28 10" xfId="8550"/>
    <cellStyle name="表体数字3位 28 2" xfId="21592"/>
    <cellStyle name="表体数字3位 28 2 2" xfId="21594"/>
    <cellStyle name="表体数字3位 28 2 3" xfId="21596"/>
    <cellStyle name="表体数字3位 28 2 4" xfId="21598"/>
    <cellStyle name="表体数字3位 28 2 5" xfId="21600"/>
    <cellStyle name="表体数字3位 28 2 6" xfId="21602"/>
    <cellStyle name="表体数字3位 28 2 7" xfId="21604"/>
    <cellStyle name="表体数字3位 28 2 8" xfId="21606"/>
    <cellStyle name="表体数字3位 28 3" xfId="21608"/>
    <cellStyle name="表体数字3位 28 3 2" xfId="21612"/>
    <cellStyle name="表体数字3位 28 3 3" xfId="21619"/>
    <cellStyle name="表体数字3位 28 3 4" xfId="21626"/>
    <cellStyle name="表体数字3位 28 3 5" xfId="21633"/>
    <cellStyle name="表体数字3位 28 3 6" xfId="21640"/>
    <cellStyle name="表体数字3位 28 3 7" xfId="21644"/>
    <cellStyle name="表体数字3位 28 3 8" xfId="21646"/>
    <cellStyle name="表体数字3位 28 4" xfId="21648"/>
    <cellStyle name="表体数字3位 28 5" xfId="21650"/>
    <cellStyle name="表体数字3位 28 6" xfId="21652"/>
    <cellStyle name="表体数字3位 28 7" xfId="21654"/>
    <cellStyle name="表体数字3位 28 8" xfId="4627"/>
    <cellStyle name="表体数字3位 28 9" xfId="4631"/>
    <cellStyle name="表体数字3位 29" xfId="21656"/>
    <cellStyle name="表体数字3位 29 10" xfId="21658"/>
    <cellStyle name="表体数字3位 29 2" xfId="15293"/>
    <cellStyle name="表体数字3位 29 2 2" xfId="370"/>
    <cellStyle name="表体数字3位 29 2 3" xfId="379"/>
    <cellStyle name="表体数字3位 29 2 4" xfId="30"/>
    <cellStyle name="表体数字3位 29 2 5" xfId="406"/>
    <cellStyle name="表体数字3位 29 2 6" xfId="445"/>
    <cellStyle name="表体数字3位 29 2 7" xfId="502"/>
    <cellStyle name="表体数字3位 29 2 8" xfId="5384"/>
    <cellStyle name="表体数字3位 29 3" xfId="15297"/>
    <cellStyle name="表体数字3位 29 3 2" xfId="355"/>
    <cellStyle name="表体数字3位 29 3 3" xfId="610"/>
    <cellStyle name="表体数字3位 29 3 4" xfId="631"/>
    <cellStyle name="表体数字3位 29 3 5" xfId="649"/>
    <cellStyle name="表体数字3位 29 3 6" xfId="655"/>
    <cellStyle name="表体数字3位 29 3 7" xfId="667"/>
    <cellStyle name="表体数字3位 29 3 8" xfId="21661"/>
    <cellStyle name="表体数字3位 29 4" xfId="21663"/>
    <cellStyle name="表体数字3位 29 5" xfId="21665"/>
    <cellStyle name="表体数字3位 29 6" xfId="21667"/>
    <cellStyle name="表体数字3位 29 7" xfId="21669"/>
    <cellStyle name="表体数字3位 29 8" xfId="4639"/>
    <cellStyle name="表体数字3位 29 9" xfId="4642"/>
    <cellStyle name="表体数字3位 3" xfId="21671"/>
    <cellStyle name="表体数字3位 3 10" xfId="21672"/>
    <cellStyle name="表体数字3位 3 2" xfId="21675"/>
    <cellStyle name="表体数字3位 3 2 2" xfId="21676"/>
    <cellStyle name="表体数字3位 3 2 3" xfId="21677"/>
    <cellStyle name="表体数字3位 3 2 4" xfId="21678"/>
    <cellStyle name="表体数字3位 3 2 5" xfId="21679"/>
    <cellStyle name="表体数字3位 3 2 6" xfId="4247"/>
    <cellStyle name="表体数字3位 3 2 7" xfId="21680"/>
    <cellStyle name="表体数字3位 3 2 8" xfId="21681"/>
    <cellStyle name="表体数字3位 3 3" xfId="20026"/>
    <cellStyle name="表体数字3位 3 3 2" xfId="20029"/>
    <cellStyle name="表体数字3位 3 3 3" xfId="20032"/>
    <cellStyle name="表体数字3位 3 3 4" xfId="20035"/>
    <cellStyle name="表体数字3位 3 3 5" xfId="20040"/>
    <cellStyle name="表体数字3位 3 3 6" xfId="20043"/>
    <cellStyle name="表体数字3位 3 3 7" xfId="20046"/>
    <cellStyle name="表体数字3位 3 3 8" xfId="20049"/>
    <cellStyle name="表体数字3位 3 4" xfId="20052"/>
    <cellStyle name="表体数字3位 3 5" xfId="20069"/>
    <cellStyle name="表体数字3位 3 6" xfId="20072"/>
    <cellStyle name="表体数字3位 3 7" xfId="20075"/>
    <cellStyle name="表体数字3位 3 8" xfId="20078"/>
    <cellStyle name="表体数字3位 3 9" xfId="20081"/>
    <cellStyle name="表体数字3位 30" xfId="21388"/>
    <cellStyle name="表体数字3位 30 10" xfId="14637"/>
    <cellStyle name="表体数字3位 30 2" xfId="10536"/>
    <cellStyle name="表体数字3位 30 2 2" xfId="21390"/>
    <cellStyle name="表体数字3位 30 2 3" xfId="21392"/>
    <cellStyle name="表体数字3位 30 2 4" xfId="21394"/>
    <cellStyle name="表体数字3位 30 2 5" xfId="21396"/>
    <cellStyle name="表体数字3位 30 2 6" xfId="21398"/>
    <cellStyle name="表体数字3位 30 2 7" xfId="21400"/>
    <cellStyle name="表体数字3位 30 2 8" xfId="6460"/>
    <cellStyle name="表体数字3位 30 3" xfId="10541"/>
    <cellStyle name="表体数字3位 30 3 2" xfId="21404"/>
    <cellStyle name="表体数字3位 30 3 3" xfId="21411"/>
    <cellStyle name="表体数字3位 30 3 4" xfId="21418"/>
    <cellStyle name="表体数字3位 30 3 5" xfId="21425"/>
    <cellStyle name="表体数字3位 30 3 6" xfId="21432"/>
    <cellStyle name="表体数字3位 30 3 7" xfId="21436"/>
    <cellStyle name="表体数字3位 30 3 8" xfId="21438"/>
    <cellStyle name="表体数字3位 30 4" xfId="10546"/>
    <cellStyle name="表体数字3位 30 5" xfId="10549"/>
    <cellStyle name="表体数字3位 30 6" xfId="21440"/>
    <cellStyle name="表体数字3位 30 7" xfId="21442"/>
    <cellStyle name="表体数字3位 30 8" xfId="4591"/>
    <cellStyle name="表体数字3位 30 9" xfId="4594"/>
    <cellStyle name="表体数字3位 31" xfId="21444"/>
    <cellStyle name="表体数字3位 31 10" xfId="21446"/>
    <cellStyle name="表体数字3位 31 2" xfId="21448"/>
    <cellStyle name="表体数字3位 31 2 2" xfId="21454"/>
    <cellStyle name="表体数字3位 31 2 3" xfId="21456"/>
    <cellStyle name="表体数字3位 31 2 4" xfId="21458"/>
    <cellStyle name="表体数字3位 31 2 5" xfId="21460"/>
    <cellStyle name="表体数字3位 31 2 6" xfId="21462"/>
    <cellStyle name="表体数字3位 31 2 7" xfId="21464"/>
    <cellStyle name="表体数字3位 31 2 8" xfId="21466"/>
    <cellStyle name="表体数字3位 31 3" xfId="21468"/>
    <cellStyle name="表体数字3位 31 3 2" xfId="21474"/>
    <cellStyle name="表体数字3位 31 3 3" xfId="21481"/>
    <cellStyle name="表体数字3位 31 3 4" xfId="21488"/>
    <cellStyle name="表体数字3位 31 3 5" xfId="21495"/>
    <cellStyle name="表体数字3位 31 3 6" xfId="21502"/>
    <cellStyle name="表体数字3位 31 3 7" xfId="21506"/>
    <cellStyle name="表体数字3位 31 3 8" xfId="21508"/>
    <cellStyle name="表体数字3位 31 4" xfId="21510"/>
    <cellStyle name="表体数字3位 31 5" xfId="21512"/>
    <cellStyle name="表体数字3位 31 6" xfId="21514"/>
    <cellStyle name="表体数字3位 31 7" xfId="21516"/>
    <cellStyle name="表体数字3位 31 8" xfId="4603"/>
    <cellStyle name="表体数字3位 31 9" xfId="4607"/>
    <cellStyle name="表体数字3位 32" xfId="21518"/>
    <cellStyle name="表体数字3位 32 10" xfId="21520"/>
    <cellStyle name="表体数字3位 32 2" xfId="21524"/>
    <cellStyle name="表体数字3位 32 2 2" xfId="21527"/>
    <cellStyle name="表体数字3位 32 2 3" xfId="21529"/>
    <cellStyle name="表体数字3位 32 2 4" xfId="21531"/>
    <cellStyle name="表体数字3位 32 2 5" xfId="21533"/>
    <cellStyle name="表体数字3位 32 2 6" xfId="21535"/>
    <cellStyle name="表体数字3位 32 2 7" xfId="21537"/>
    <cellStyle name="表体数字3位 32 2 8" xfId="21539"/>
    <cellStyle name="表体数字3位 32 3" xfId="21541"/>
    <cellStyle name="表体数字3位 32 3 2" xfId="21546"/>
    <cellStyle name="表体数字3位 32 3 3" xfId="21553"/>
    <cellStyle name="表体数字3位 32 3 4" xfId="21561"/>
    <cellStyle name="表体数字3位 32 3 5" xfId="21569"/>
    <cellStyle name="表体数字3位 32 3 6" xfId="21577"/>
    <cellStyle name="表体数字3位 32 3 7" xfId="21581"/>
    <cellStyle name="表体数字3位 32 3 8" xfId="3611"/>
    <cellStyle name="表体数字3位 32 4" xfId="21583"/>
    <cellStyle name="表体数字3位 32 5" xfId="21585"/>
    <cellStyle name="表体数字3位 32 6" xfId="21587"/>
    <cellStyle name="表体数字3位 32 7" xfId="21589"/>
    <cellStyle name="表体数字3位 32 8" xfId="4615"/>
    <cellStyle name="表体数字3位 32 9" xfId="4619"/>
    <cellStyle name="表体数字3位 33" xfId="21591"/>
    <cellStyle name="表体数字3位 33 10" xfId="8551"/>
    <cellStyle name="表体数字3位 33 2" xfId="21593"/>
    <cellStyle name="表体数字3位 33 2 2" xfId="21595"/>
    <cellStyle name="表体数字3位 33 2 3" xfId="21597"/>
    <cellStyle name="表体数字3位 33 2 4" xfId="21599"/>
    <cellStyle name="表体数字3位 33 2 5" xfId="21601"/>
    <cellStyle name="表体数字3位 33 2 6" xfId="21603"/>
    <cellStyle name="表体数字3位 33 2 7" xfId="21605"/>
    <cellStyle name="表体数字3位 33 2 8" xfId="21607"/>
    <cellStyle name="表体数字3位 33 3" xfId="21609"/>
    <cellStyle name="表体数字3位 33 3 2" xfId="21613"/>
    <cellStyle name="表体数字3位 33 3 3" xfId="21620"/>
    <cellStyle name="表体数字3位 33 3 4" xfId="21627"/>
    <cellStyle name="表体数字3位 33 3 5" xfId="21634"/>
    <cellStyle name="表体数字3位 33 3 6" xfId="21641"/>
    <cellStyle name="表体数字3位 33 3 7" xfId="21645"/>
    <cellStyle name="表体数字3位 33 3 8" xfId="21647"/>
    <cellStyle name="表体数字3位 33 4" xfId="21649"/>
    <cellStyle name="表体数字3位 33 5" xfId="21651"/>
    <cellStyle name="表体数字3位 33 6" xfId="21653"/>
    <cellStyle name="表体数字3位 33 7" xfId="21655"/>
    <cellStyle name="表体数字3位 33 8" xfId="4628"/>
    <cellStyle name="表体数字3位 33 9" xfId="4632"/>
    <cellStyle name="表体数字3位 34" xfId="21657"/>
    <cellStyle name="表体数字3位 34 10" xfId="21659"/>
    <cellStyle name="表体数字3位 34 2" xfId="15294"/>
    <cellStyle name="表体数字3位 34 2 2" xfId="371"/>
    <cellStyle name="表体数字3位 34 2 3" xfId="380"/>
    <cellStyle name="表体数字3位 34 2 4" xfId="31"/>
    <cellStyle name="表体数字3位 34 2 5" xfId="407"/>
    <cellStyle name="表体数字3位 34 2 6" xfId="446"/>
    <cellStyle name="表体数字3位 34 2 7" xfId="501"/>
    <cellStyle name="表体数字3位 34 2 8" xfId="5385"/>
    <cellStyle name="表体数字3位 34 3" xfId="15298"/>
    <cellStyle name="表体数字3位 34 3 2" xfId="356"/>
    <cellStyle name="表体数字3位 34 3 3" xfId="609"/>
    <cellStyle name="表体数字3位 34 3 4" xfId="630"/>
    <cellStyle name="表体数字3位 34 3 5" xfId="648"/>
    <cellStyle name="表体数字3位 34 3 6" xfId="654"/>
    <cellStyle name="表体数字3位 34 3 7" xfId="666"/>
    <cellStyle name="表体数字3位 34 3 8" xfId="21662"/>
    <cellStyle name="表体数字3位 34 4" xfId="21664"/>
    <cellStyle name="表体数字3位 34 5" xfId="21666"/>
    <cellStyle name="表体数字3位 34 6" xfId="21668"/>
    <cellStyle name="表体数字3位 34 7" xfId="21670"/>
    <cellStyle name="表体数字3位 34 8" xfId="4640"/>
    <cellStyle name="表体数字3位 34 9" xfId="4643"/>
    <cellStyle name="表体数字3位 35" xfId="19493"/>
    <cellStyle name="表体数字3位 35 10" xfId="14688"/>
    <cellStyle name="表体数字3位 35 2" xfId="15317"/>
    <cellStyle name="表体数字3位 35 2 2" xfId="21682"/>
    <cellStyle name="表体数字3位 35 2 3" xfId="21684"/>
    <cellStyle name="表体数字3位 35 2 4" xfId="21686"/>
    <cellStyle name="表体数字3位 35 2 5" xfId="12740"/>
    <cellStyle name="表体数字3位 35 2 6" xfId="21688"/>
    <cellStyle name="表体数字3位 35 2 7" xfId="21690"/>
    <cellStyle name="表体数字3位 35 2 8" xfId="21692"/>
    <cellStyle name="表体数字3位 35 3" xfId="15321"/>
    <cellStyle name="表体数字3位 35 3 2" xfId="21696"/>
    <cellStyle name="表体数字3位 35 3 3" xfId="21702"/>
    <cellStyle name="表体数字3位 35 3 4" xfId="21708"/>
    <cellStyle name="表体数字3位 35 3 5" xfId="21714"/>
    <cellStyle name="表体数字3位 35 3 6" xfId="21720"/>
    <cellStyle name="表体数字3位 35 3 7" xfId="21724"/>
    <cellStyle name="表体数字3位 35 3 8" xfId="21726"/>
    <cellStyle name="表体数字3位 35 4" xfId="21728"/>
    <cellStyle name="表体数字3位 35 5" xfId="21730"/>
    <cellStyle name="表体数字3位 35 6" xfId="21732"/>
    <cellStyle name="表体数字3位 35 7" xfId="21734"/>
    <cellStyle name="表体数字3位 35 8" xfId="4655"/>
    <cellStyle name="表体数字3位 35 9" xfId="4664"/>
    <cellStyle name="表体数字3位 36" xfId="21736"/>
    <cellStyle name="表体数字3位 36 10" xfId="21738"/>
    <cellStyle name="表体数字3位 36 2" xfId="21742"/>
    <cellStyle name="表体数字3位 36 2 2" xfId="21744"/>
    <cellStyle name="表体数字3位 36 2 3" xfId="21746"/>
    <cellStyle name="表体数字3位 36 2 4" xfId="21748"/>
    <cellStyle name="表体数字3位 36 2 5" xfId="12756"/>
    <cellStyle name="表体数字3位 36 2 6" xfId="21750"/>
    <cellStyle name="表体数字3位 36 2 7" xfId="21752"/>
    <cellStyle name="表体数字3位 36 2 8" xfId="21754"/>
    <cellStyle name="表体数字3位 36 3" xfId="21756"/>
    <cellStyle name="表体数字3位 36 3 2" xfId="21760"/>
    <cellStyle name="表体数字3位 36 3 3" xfId="21766"/>
    <cellStyle name="表体数字3位 36 3 4" xfId="21772"/>
    <cellStyle name="表体数字3位 36 3 5" xfId="21778"/>
    <cellStyle name="表体数字3位 36 3 6" xfId="21784"/>
    <cellStyle name="表体数字3位 36 3 7" xfId="21788"/>
    <cellStyle name="表体数字3位 36 3 8" xfId="21790"/>
    <cellStyle name="表体数字3位 36 4" xfId="21792"/>
    <cellStyle name="表体数字3位 36 5" xfId="21794"/>
    <cellStyle name="表体数字3位 36 6" xfId="12887"/>
    <cellStyle name="表体数字3位 36 7" xfId="12897"/>
    <cellStyle name="表体数字3位 36 8" xfId="4672"/>
    <cellStyle name="表体数字3位 36 9" xfId="4677"/>
    <cellStyle name="表体数字3位 37" xfId="21796"/>
    <cellStyle name="表体数字3位 37 10" xfId="21798"/>
    <cellStyle name="表体数字3位 37 2" xfId="21802"/>
    <cellStyle name="表体数字3位 37 2 2" xfId="21805"/>
    <cellStyle name="表体数字3位 37 2 3" xfId="21807"/>
    <cellStyle name="表体数字3位 37 2 4" xfId="21809"/>
    <cellStyle name="表体数字3位 37 2 5" xfId="12786"/>
    <cellStyle name="表体数字3位 37 2 6" xfId="21811"/>
    <cellStyle name="表体数字3位 37 2 7" xfId="21813"/>
    <cellStyle name="表体数字3位 37 2 8" xfId="21815"/>
    <cellStyle name="表体数字3位 37 3" xfId="21817"/>
    <cellStyle name="表体数字3位 37 3 2" xfId="21822"/>
    <cellStyle name="表体数字3位 37 3 3" xfId="21828"/>
    <cellStyle name="表体数字3位 37 3 4" xfId="21834"/>
    <cellStyle name="表体数字3位 37 3 5" xfId="21840"/>
    <cellStyle name="表体数字3位 37 3 6" xfId="21846"/>
    <cellStyle name="表体数字3位 37 3 7" xfId="21850"/>
    <cellStyle name="表体数字3位 37 3 8" xfId="21852"/>
    <cellStyle name="表体数字3位 37 4" xfId="21854"/>
    <cellStyle name="表体数字3位 37 5" xfId="21856"/>
    <cellStyle name="表体数字3位 37 6" xfId="12916"/>
    <cellStyle name="表体数字3位 37 7" xfId="12926"/>
    <cellStyle name="表体数字3位 37 8" xfId="12934"/>
    <cellStyle name="表体数字3位 37 9" xfId="6917"/>
    <cellStyle name="表体数字3位 38" xfId="21858"/>
    <cellStyle name="表体数字3位 38 10" xfId="21860"/>
    <cellStyle name="表体数字3位 38 2" xfId="21864"/>
    <cellStyle name="表体数字3位 38 2 2" xfId="21867"/>
    <cellStyle name="表体数字3位 38 2 3" xfId="21870"/>
    <cellStyle name="表体数字3位 38 2 4" xfId="21872"/>
    <cellStyle name="表体数字3位 38 2 5" xfId="21876"/>
    <cellStyle name="表体数字3位 38 2 6" xfId="21880"/>
    <cellStyle name="表体数字3位 38 2 7" xfId="21884"/>
    <cellStyle name="表体数字3位 38 2 8" xfId="21888"/>
    <cellStyle name="表体数字3位 38 3" xfId="21892"/>
    <cellStyle name="表体数字3位 38 3 2" xfId="21896"/>
    <cellStyle name="表体数字3位 38 3 3" xfId="21903"/>
    <cellStyle name="表体数字3位 38 3 4" xfId="21909"/>
    <cellStyle name="表体数字3位 38 3 5" xfId="21917"/>
    <cellStyle name="表体数字3位 38 3 6" xfId="21925"/>
    <cellStyle name="表体数字3位 38 3 7" xfId="21931"/>
    <cellStyle name="表体数字3位 38 3 8" xfId="21935"/>
    <cellStyle name="表体数字3位 38 4" xfId="21939"/>
    <cellStyle name="表体数字3位 38 5" xfId="21941"/>
    <cellStyle name="表体数字3位 38 6" xfId="12945"/>
    <cellStyle name="表体数字3位 38 7" xfId="12966"/>
    <cellStyle name="表体数字3位 38 8" xfId="12985"/>
    <cellStyle name="表体数字3位 38 9" xfId="12988"/>
    <cellStyle name="表体数字3位 39" xfId="21943"/>
    <cellStyle name="表体数字3位 39 10" xfId="21945"/>
    <cellStyle name="表体数字3位 39 2" xfId="21949"/>
    <cellStyle name="表体数字3位 39 2 2" xfId="21952"/>
    <cellStyle name="表体数字3位 39 2 3" xfId="21958"/>
    <cellStyle name="表体数字3位 39 2 4" xfId="21962"/>
    <cellStyle name="表体数字3位 39 2 5" xfId="21966"/>
    <cellStyle name="表体数字3位 39 2 6" xfId="3414"/>
    <cellStyle name="表体数字3位 39 2 7" xfId="3421"/>
    <cellStyle name="表体数字3位 39 2 8" xfId="21971"/>
    <cellStyle name="表体数字3位 39 3" xfId="21975"/>
    <cellStyle name="表体数字3位 39 3 2" xfId="3886"/>
    <cellStyle name="表体数字3位 39 3 3" xfId="21979"/>
    <cellStyle name="表体数字3位 39 3 4" xfId="21987"/>
    <cellStyle name="表体数字3位 39 3 5" xfId="21995"/>
    <cellStyle name="表体数字3位 39 3 6" xfId="6210"/>
    <cellStyle name="表体数字3位 39 3 7" xfId="6218"/>
    <cellStyle name="表体数字3位 39 3 8" xfId="22002"/>
    <cellStyle name="表体数字3位 39 4" xfId="22006"/>
    <cellStyle name="表体数字3位 39 5" xfId="22008"/>
    <cellStyle name="表体数字3位 39 6" xfId="12996"/>
    <cellStyle name="表体数字3位 39 7" xfId="13017"/>
    <cellStyle name="表体数字3位 39 8" xfId="13037"/>
    <cellStyle name="表体数字3位 39 9" xfId="13040"/>
    <cellStyle name="表体数字3位 4" xfId="22010"/>
    <cellStyle name="表体数字3位 4 10" xfId="13613"/>
    <cellStyle name="表体数字3位 4 2" xfId="11687"/>
    <cellStyle name="表体数字3位 4 2 2" xfId="22011"/>
    <cellStyle name="表体数字3位 4 2 3" xfId="22012"/>
    <cellStyle name="表体数字3位 4 2 4" xfId="22013"/>
    <cellStyle name="表体数字3位 4 2 5" xfId="22014"/>
    <cellStyle name="表体数字3位 4 2 6" xfId="22015"/>
    <cellStyle name="表体数字3位 4 2 7" xfId="22016"/>
    <cellStyle name="表体数字3位 4 2 8" xfId="22017"/>
    <cellStyle name="表体数字3位 4 3" xfId="20091"/>
    <cellStyle name="表体数字3位 4 3 2" xfId="20094"/>
    <cellStyle name="表体数字3位 4 3 3" xfId="20097"/>
    <cellStyle name="表体数字3位 4 3 4" xfId="20100"/>
    <cellStyle name="表体数字3位 4 3 5" xfId="20105"/>
    <cellStyle name="表体数字3位 4 3 6" xfId="20108"/>
    <cellStyle name="表体数字3位 4 3 7" xfId="20111"/>
    <cellStyle name="表体数字3位 4 3 8" xfId="20114"/>
    <cellStyle name="表体数字3位 4 4" xfId="20117"/>
    <cellStyle name="表体数字3位 4 5" xfId="20134"/>
    <cellStyle name="表体数字3位 4 6" xfId="20137"/>
    <cellStyle name="表体数字3位 4 7" xfId="20140"/>
    <cellStyle name="表体数字3位 4 8" xfId="20143"/>
    <cellStyle name="表体数字3位 4 9" xfId="20146"/>
    <cellStyle name="表体数字3位 40" xfId="19494"/>
    <cellStyle name="表体数字3位 40 10" xfId="14689"/>
    <cellStyle name="表体数字3位 40 2" xfId="15318"/>
    <cellStyle name="表体数字3位 40 2 2" xfId="21683"/>
    <cellStyle name="表体数字3位 40 2 3" xfId="21685"/>
    <cellStyle name="表体数字3位 40 2 4" xfId="21687"/>
    <cellStyle name="表体数字3位 40 2 5" xfId="12741"/>
    <cellStyle name="表体数字3位 40 2 6" xfId="21689"/>
    <cellStyle name="表体数字3位 40 2 7" xfId="21691"/>
    <cellStyle name="表体数字3位 40 2 8" xfId="21693"/>
    <cellStyle name="表体数字3位 40 3" xfId="15322"/>
    <cellStyle name="表体数字3位 40 3 2" xfId="21697"/>
    <cellStyle name="表体数字3位 40 3 3" xfId="21703"/>
    <cellStyle name="表体数字3位 40 3 4" xfId="21709"/>
    <cellStyle name="表体数字3位 40 3 5" xfId="21715"/>
    <cellStyle name="表体数字3位 40 3 6" xfId="21721"/>
    <cellStyle name="表体数字3位 40 3 7" xfId="21725"/>
    <cellStyle name="表体数字3位 40 3 8" xfId="21727"/>
    <cellStyle name="表体数字3位 40 4" xfId="21729"/>
    <cellStyle name="表体数字3位 40 5" xfId="21731"/>
    <cellStyle name="表体数字3位 40 6" xfId="21733"/>
    <cellStyle name="表体数字3位 40 7" xfId="21735"/>
    <cellStyle name="表体数字3位 40 8" xfId="4656"/>
    <cellStyle name="表体数字3位 40 9" xfId="4665"/>
    <cellStyle name="表体数字3位 41" xfId="21737"/>
    <cellStyle name="表体数字3位 41 10" xfId="21739"/>
    <cellStyle name="表体数字3位 41 2" xfId="21743"/>
    <cellStyle name="表体数字3位 41 2 2" xfId="21745"/>
    <cellStyle name="表体数字3位 41 2 3" xfId="21747"/>
    <cellStyle name="表体数字3位 41 2 4" xfId="21749"/>
    <cellStyle name="表体数字3位 41 2 5" xfId="12757"/>
    <cellStyle name="表体数字3位 41 2 6" xfId="21751"/>
    <cellStyle name="表体数字3位 41 2 7" xfId="21753"/>
    <cellStyle name="表体数字3位 41 2 8" xfId="21755"/>
    <cellStyle name="表体数字3位 41 3" xfId="21757"/>
    <cellStyle name="表体数字3位 41 3 2" xfId="21761"/>
    <cellStyle name="表体数字3位 41 3 3" xfId="21767"/>
    <cellStyle name="表体数字3位 41 3 4" xfId="21773"/>
    <cellStyle name="表体数字3位 41 3 5" xfId="21779"/>
    <cellStyle name="表体数字3位 41 3 6" xfId="21785"/>
    <cellStyle name="表体数字3位 41 3 7" xfId="21789"/>
    <cellStyle name="表体数字3位 41 3 8" xfId="21791"/>
    <cellStyle name="表体数字3位 41 4" xfId="21793"/>
    <cellStyle name="表体数字3位 41 5" xfId="21795"/>
    <cellStyle name="表体数字3位 41 6" xfId="12888"/>
    <cellStyle name="表体数字3位 41 7" xfId="12898"/>
    <cellStyle name="表体数字3位 41 8" xfId="4673"/>
    <cellStyle name="表体数字3位 41 9" xfId="4678"/>
    <cellStyle name="表体数字3位 42" xfId="21797"/>
    <cellStyle name="表体数字3位 42 10" xfId="21799"/>
    <cellStyle name="表体数字3位 42 2" xfId="21803"/>
    <cellStyle name="表体数字3位 42 2 2" xfId="21806"/>
    <cellStyle name="表体数字3位 42 2 3" xfId="21808"/>
    <cellStyle name="表体数字3位 42 2 4" xfId="21810"/>
    <cellStyle name="表体数字3位 42 2 5" xfId="12787"/>
    <cellStyle name="表体数字3位 42 2 6" xfId="21812"/>
    <cellStyle name="表体数字3位 42 2 7" xfId="21814"/>
    <cellStyle name="表体数字3位 42 2 8" xfId="21816"/>
    <cellStyle name="表体数字3位 42 3" xfId="21818"/>
    <cellStyle name="表体数字3位 42 3 2" xfId="21823"/>
    <cellStyle name="表体数字3位 42 3 3" xfId="21829"/>
    <cellStyle name="表体数字3位 42 3 4" xfId="21835"/>
    <cellStyle name="表体数字3位 42 3 5" xfId="21841"/>
    <cellStyle name="表体数字3位 42 3 6" xfId="21847"/>
    <cellStyle name="表体数字3位 42 3 7" xfId="21851"/>
    <cellStyle name="表体数字3位 42 3 8" xfId="21853"/>
    <cellStyle name="表体数字3位 42 4" xfId="21855"/>
    <cellStyle name="表体数字3位 42 5" xfId="21857"/>
    <cellStyle name="表体数字3位 42 6" xfId="12917"/>
    <cellStyle name="表体数字3位 42 7" xfId="12927"/>
    <cellStyle name="表体数字3位 42 8" xfId="12935"/>
    <cellStyle name="表体数字3位 42 9" xfId="6918"/>
    <cellStyle name="表体数字3位 43" xfId="21859"/>
    <cellStyle name="表体数字3位 43 10" xfId="21861"/>
    <cellStyle name="表体数字3位 43 2" xfId="21865"/>
    <cellStyle name="表体数字3位 43 2 2" xfId="21868"/>
    <cellStyle name="表体数字3位 43 2 3" xfId="21871"/>
    <cellStyle name="表体数字3位 43 2 4" xfId="21873"/>
    <cellStyle name="表体数字3位 43 2 5" xfId="21877"/>
    <cellStyle name="表体数字3位 43 2 6" xfId="21881"/>
    <cellStyle name="表体数字3位 43 2 7" xfId="21885"/>
    <cellStyle name="表体数字3位 43 2 8" xfId="21889"/>
    <cellStyle name="表体数字3位 43 3" xfId="21893"/>
    <cellStyle name="表体数字3位 43 3 2" xfId="21897"/>
    <cellStyle name="表体数字3位 43 3 3" xfId="21904"/>
    <cellStyle name="表体数字3位 43 3 4" xfId="21910"/>
    <cellStyle name="表体数字3位 43 3 5" xfId="21918"/>
    <cellStyle name="表体数字3位 43 3 6" xfId="21926"/>
    <cellStyle name="表体数字3位 43 3 7" xfId="21932"/>
    <cellStyle name="表体数字3位 43 3 8" xfId="21936"/>
    <cellStyle name="表体数字3位 43 4" xfId="21940"/>
    <cellStyle name="表体数字3位 43 5" xfId="21942"/>
    <cellStyle name="表体数字3位 43 6" xfId="12946"/>
    <cellStyle name="表体数字3位 43 7" xfId="12967"/>
    <cellStyle name="表体数字3位 43 8" xfId="12986"/>
    <cellStyle name="表体数字3位 43 9" xfId="12989"/>
    <cellStyle name="表体数字3位 44" xfId="21944"/>
    <cellStyle name="表体数字3位 44 10" xfId="21946"/>
    <cellStyle name="表体数字3位 44 2" xfId="21950"/>
    <cellStyle name="表体数字3位 44 2 2" xfId="21953"/>
    <cellStyle name="表体数字3位 44 2 3" xfId="21959"/>
    <cellStyle name="表体数字3位 44 2 4" xfId="21963"/>
    <cellStyle name="表体数字3位 44 2 5" xfId="21967"/>
    <cellStyle name="表体数字3位 44 2 6" xfId="3413"/>
    <cellStyle name="表体数字3位 44 2 7" xfId="3420"/>
    <cellStyle name="表体数字3位 44 2 8" xfId="21972"/>
    <cellStyle name="表体数字3位 44 3" xfId="21976"/>
    <cellStyle name="表体数字3位 44 3 2" xfId="3885"/>
    <cellStyle name="表体数字3位 44 3 3" xfId="21980"/>
    <cellStyle name="表体数字3位 44 3 4" xfId="21988"/>
    <cellStyle name="表体数字3位 44 3 5" xfId="21996"/>
    <cellStyle name="表体数字3位 44 3 6" xfId="6211"/>
    <cellStyle name="表体数字3位 44 3 7" xfId="6219"/>
    <cellStyle name="表体数字3位 44 3 8" xfId="22003"/>
    <cellStyle name="表体数字3位 44 4" xfId="22007"/>
    <cellStyle name="表体数字3位 44 5" xfId="22009"/>
    <cellStyle name="表体数字3位 44 6" xfId="12997"/>
    <cellStyle name="表体数字3位 44 7" xfId="13018"/>
    <cellStyle name="表体数字3位 44 8" xfId="13038"/>
    <cellStyle name="表体数字3位 44 9" xfId="13041"/>
    <cellStyle name="表体数字3位 45" xfId="22018"/>
    <cellStyle name="表体数字3位 45 10" xfId="14785"/>
    <cellStyle name="表体数字3位 45 2" xfId="22020"/>
    <cellStyle name="表体数字3位 45 2 2" xfId="22022"/>
    <cellStyle name="表体数字3位 45 2 3" xfId="22024"/>
    <cellStyle name="表体数字3位 45 2 4" xfId="22026"/>
    <cellStyle name="表体数字3位 45 2 5" xfId="22028"/>
    <cellStyle name="表体数字3位 45 2 6" xfId="895"/>
    <cellStyle name="表体数字3位 45 2 7" xfId="904"/>
    <cellStyle name="表体数字3位 45 2 8" xfId="22030"/>
    <cellStyle name="表体数字3位 45 3" xfId="22032"/>
    <cellStyle name="表体数字3位 45 3 2" xfId="22036"/>
    <cellStyle name="表体数字3位 45 3 3" xfId="22042"/>
    <cellStyle name="表体数字3位 45 3 4" xfId="22048"/>
    <cellStyle name="表体数字3位 45 3 5" xfId="22054"/>
    <cellStyle name="表体数字3位 45 3 6" xfId="6275"/>
    <cellStyle name="表体数字3位 45 3 7" xfId="6280"/>
    <cellStyle name="表体数字3位 45 3 8" xfId="22058"/>
    <cellStyle name="表体数字3位 45 4" xfId="22060"/>
    <cellStyle name="表体数字3位 45 5" xfId="22062"/>
    <cellStyle name="表体数字3位 45 6" xfId="13047"/>
    <cellStyle name="表体数字3位 45 7" xfId="13055"/>
    <cellStyle name="表体数字3位 45 8" xfId="13065"/>
    <cellStyle name="表体数字3位 45 9" xfId="13068"/>
    <cellStyle name="表体数字3位 46" xfId="22064"/>
    <cellStyle name="表体数字3位 46 10" xfId="3475"/>
    <cellStyle name="表体数字3位 46 2" xfId="22066"/>
    <cellStyle name="表体数字3位 46 2 2" xfId="22068"/>
    <cellStyle name="表体数字3位 46 2 3" xfId="22070"/>
    <cellStyle name="表体数字3位 46 2 4" xfId="22072"/>
    <cellStyle name="表体数字3位 46 2 5" xfId="253"/>
    <cellStyle name="表体数字3位 46 2 6" xfId="7490"/>
    <cellStyle name="表体数字3位 46 2 7" xfId="22074"/>
    <cellStyle name="表体数字3位 46 2 8" xfId="22076"/>
    <cellStyle name="表体数字3位 46 3" xfId="22078"/>
    <cellStyle name="表体数字3位 46 3 2" xfId="22082"/>
    <cellStyle name="表体数字3位 46 3 3" xfId="22088"/>
    <cellStyle name="表体数字3位 46 3 4" xfId="22094"/>
    <cellStyle name="表体数字3位 46 3 5" xfId="22100"/>
    <cellStyle name="表体数字3位 46 3 6" xfId="22106"/>
    <cellStyle name="表体数字3位 46 3 7" xfId="22110"/>
    <cellStyle name="表体数字3位 46 3 8" xfId="22112"/>
    <cellStyle name="表体数字3位 46 4" xfId="22114"/>
    <cellStyle name="表体数字3位 46 5" xfId="22116"/>
    <cellStyle name="表体数字3位 46 6" xfId="13075"/>
    <cellStyle name="表体数字3位 46 7" xfId="13091"/>
    <cellStyle name="表体数字3位 46 8" xfId="13109"/>
    <cellStyle name="表体数字3位 46 9" xfId="13113"/>
    <cellStyle name="表体数字3位 47" xfId="22118"/>
    <cellStyle name="表体数字3位 47 10" xfId="22120"/>
    <cellStyle name="表体数字3位 47 2" xfId="22122"/>
    <cellStyle name="表体数字3位 47 2 2" xfId="22124"/>
    <cellStyle name="表体数字3位 47 2 3" xfId="22126"/>
    <cellStyle name="表体数字3位 47 2 4" xfId="22128"/>
    <cellStyle name="表体数字3位 47 2 5" xfId="22130"/>
    <cellStyle name="表体数字3位 47 2 6" xfId="22132"/>
    <cellStyle name="表体数字3位 47 2 7" xfId="22134"/>
    <cellStyle name="表体数字3位 47 2 8" xfId="22136"/>
    <cellStyle name="表体数字3位 47 3" xfId="22138"/>
    <cellStyle name="表体数字3位 47 3 2" xfId="22142"/>
    <cellStyle name="表体数字3位 47 3 3" xfId="22147"/>
    <cellStyle name="表体数字3位 47 3 4" xfId="22152"/>
    <cellStyle name="表体数字3位 47 3 5" xfId="22157"/>
    <cellStyle name="表体数字3位 47 3 6" xfId="22162"/>
    <cellStyle name="表体数字3位 47 3 7" xfId="22166"/>
    <cellStyle name="表体数字3位 47 3 8" xfId="22168"/>
    <cellStyle name="表体数字3位 47 4" xfId="22170"/>
    <cellStyle name="表体数字3位 47 5" xfId="22172"/>
    <cellStyle name="表体数字3位 47 6" xfId="13124"/>
    <cellStyle name="表体数字3位 47 7" xfId="13156"/>
    <cellStyle name="表体数字3位 47 8" xfId="13174"/>
    <cellStyle name="表体数字3位 47 9" xfId="13178"/>
    <cellStyle name="表体数字3位 48" xfId="22174"/>
    <cellStyle name="表体数字3位 48 10" xfId="22176"/>
    <cellStyle name="表体数字3位 48 2" xfId="22178"/>
    <cellStyle name="表体数字3位 48 2 2" xfId="22180"/>
    <cellStyle name="表体数字3位 48 2 3" xfId="22182"/>
    <cellStyle name="表体数字3位 48 2 4" xfId="22184"/>
    <cellStyle name="表体数字3位 48 2 5" xfId="22186"/>
    <cellStyle name="表体数字3位 48 2 6" xfId="22188"/>
    <cellStyle name="表体数字3位 48 2 7" xfId="18530"/>
    <cellStyle name="表体数字3位 48 2 8" xfId="18562"/>
    <cellStyle name="表体数字3位 48 3" xfId="22190"/>
    <cellStyle name="表体数字3位 48 3 2" xfId="22194"/>
    <cellStyle name="表体数字3位 48 3 3" xfId="22198"/>
    <cellStyle name="表体数字3位 48 3 4" xfId="22202"/>
    <cellStyle name="表体数字3位 48 3 5" xfId="22206"/>
    <cellStyle name="表体数字3位 48 3 6" xfId="22210"/>
    <cellStyle name="表体数字3位 48 3 7" xfId="18656"/>
    <cellStyle name="表体数字3位 48 3 8" xfId="18680"/>
    <cellStyle name="表体数字3位 48 4" xfId="22212"/>
    <cellStyle name="表体数字3位 48 5" xfId="22214"/>
    <cellStyle name="表体数字3位 48 6" xfId="13191"/>
    <cellStyle name="表体数字3位 48 7" xfId="13197"/>
    <cellStyle name="表体数字3位 48 8" xfId="13201"/>
    <cellStyle name="表体数字3位 48 9" xfId="13205"/>
    <cellStyle name="表体数字3位 49" xfId="22216"/>
    <cellStyle name="表体数字3位 49 10" xfId="22218"/>
    <cellStyle name="表体数字3位 49 2" xfId="22220"/>
    <cellStyle name="表体数字3位 49 2 2" xfId="22222"/>
    <cellStyle name="表体数字3位 49 2 3" xfId="1151"/>
    <cellStyle name="表体数字3位 49 2 4" xfId="22224"/>
    <cellStyle name="表体数字3位 49 2 5" xfId="22227"/>
    <cellStyle name="表体数字3位 49 2 6" xfId="22230"/>
    <cellStyle name="表体数字3位 49 2 7" xfId="22233"/>
    <cellStyle name="表体数字3位 49 2 8" xfId="22236"/>
    <cellStyle name="表体数字3位 49 3" xfId="22239"/>
    <cellStyle name="表体数字3位 49 3 2" xfId="22243"/>
    <cellStyle name="表体数字3位 49 3 3" xfId="22247"/>
    <cellStyle name="表体数字3位 49 3 4" xfId="22251"/>
    <cellStyle name="表体数字3位 49 3 5" xfId="22255"/>
    <cellStyle name="表体数字3位 49 3 6" xfId="22259"/>
    <cellStyle name="表体数字3位 49 3 7" xfId="22263"/>
    <cellStyle name="表体数字3位 49 3 8" xfId="22265"/>
    <cellStyle name="表体数字3位 49 4" xfId="22267"/>
    <cellStyle name="表体数字3位 49 5" xfId="22269"/>
    <cellStyle name="表体数字3位 49 6" xfId="13219"/>
    <cellStyle name="表体数字3位 49 7" xfId="13237"/>
    <cellStyle name="表体数字3位 49 8" xfId="13255"/>
    <cellStyle name="表体数字3位 49 9" xfId="13259"/>
    <cellStyle name="表体数字3位 5" xfId="22271"/>
    <cellStyle name="表体数字3位 5 10" xfId="2468"/>
    <cellStyle name="表体数字3位 5 2" xfId="11697"/>
    <cellStyle name="表体数字3位 5 2 2" xfId="22272"/>
    <cellStyle name="表体数字3位 5 2 3" xfId="22273"/>
    <cellStyle name="表体数字3位 5 2 4" xfId="22274"/>
    <cellStyle name="表体数字3位 5 2 5" xfId="22275"/>
    <cellStyle name="表体数字3位 5 2 6" xfId="22276"/>
    <cellStyle name="表体数字3位 5 2 7" xfId="22277"/>
    <cellStyle name="表体数字3位 5 2 8" xfId="22278"/>
    <cellStyle name="表体数字3位 5 3" xfId="20158"/>
    <cellStyle name="表体数字3位 5 3 2" xfId="20163"/>
    <cellStyle name="表体数字3位 5 3 3" xfId="20166"/>
    <cellStyle name="表体数字3位 5 3 4" xfId="20169"/>
    <cellStyle name="表体数字3位 5 3 5" xfId="20172"/>
    <cellStyle name="表体数字3位 5 3 6" xfId="20175"/>
    <cellStyle name="表体数字3位 5 3 7" xfId="20178"/>
    <cellStyle name="表体数字3位 5 3 8" xfId="20181"/>
    <cellStyle name="表体数字3位 5 4" xfId="20184"/>
    <cellStyle name="表体数字3位 5 5" xfId="20203"/>
    <cellStyle name="表体数字3位 5 6" xfId="20208"/>
    <cellStyle name="表体数字3位 5 7" xfId="20213"/>
    <cellStyle name="表体数字3位 5 8" xfId="20216"/>
    <cellStyle name="表体数字3位 5 9" xfId="12628"/>
    <cellStyle name="表体数字3位 50" xfId="22019"/>
    <cellStyle name="表体数字3位 50 10" xfId="14786"/>
    <cellStyle name="表体数字3位 50 2" xfId="22021"/>
    <cellStyle name="表体数字3位 50 2 2" xfId="22023"/>
    <cellStyle name="表体数字3位 50 2 3" xfId="22025"/>
    <cellStyle name="表体数字3位 50 2 4" xfId="22027"/>
    <cellStyle name="表体数字3位 50 2 5" xfId="22029"/>
    <cellStyle name="表体数字3位 50 2 6" xfId="894"/>
    <cellStyle name="表体数字3位 50 2 7" xfId="903"/>
    <cellStyle name="表体数字3位 50 2 8" xfId="22031"/>
    <cellStyle name="表体数字3位 50 3" xfId="22033"/>
    <cellStyle name="表体数字3位 50 3 2" xfId="22037"/>
    <cellStyle name="表体数字3位 50 3 3" xfId="22043"/>
    <cellStyle name="表体数字3位 50 3 4" xfId="22049"/>
    <cellStyle name="表体数字3位 50 3 5" xfId="22055"/>
    <cellStyle name="表体数字3位 50 3 6" xfId="6276"/>
    <cellStyle name="表体数字3位 50 3 7" xfId="6281"/>
    <cellStyle name="表体数字3位 50 3 8" xfId="22059"/>
    <cellStyle name="表体数字3位 50 4" xfId="22061"/>
    <cellStyle name="表体数字3位 50 5" xfId="22063"/>
    <cellStyle name="表体数字3位 50 6" xfId="13048"/>
    <cellStyle name="表体数字3位 50 7" xfId="13056"/>
    <cellStyle name="表体数字3位 50 8" xfId="13066"/>
    <cellStyle name="表体数字3位 50 9" xfId="13069"/>
    <cellStyle name="表体数字3位 51" xfId="22065"/>
    <cellStyle name="表体数字3位 51 10" xfId="3474"/>
    <cellStyle name="表体数字3位 51 2" xfId="22067"/>
    <cellStyle name="表体数字3位 51 2 2" xfId="22069"/>
    <cellStyle name="表体数字3位 51 2 3" xfId="22071"/>
    <cellStyle name="表体数字3位 51 2 4" xfId="22073"/>
    <cellStyle name="表体数字3位 51 2 5" xfId="254"/>
    <cellStyle name="表体数字3位 51 2 6" xfId="7491"/>
    <cellStyle name="表体数字3位 51 2 7" xfId="22075"/>
    <cellStyle name="表体数字3位 51 2 8" xfId="22077"/>
    <cellStyle name="表体数字3位 51 3" xfId="22079"/>
    <cellStyle name="表体数字3位 51 3 2" xfId="22083"/>
    <cellStyle name="表体数字3位 51 3 3" xfId="22089"/>
    <cellStyle name="表体数字3位 51 3 4" xfId="22095"/>
    <cellStyle name="表体数字3位 51 3 5" xfId="22101"/>
    <cellStyle name="表体数字3位 51 3 6" xfId="22107"/>
    <cellStyle name="表体数字3位 51 3 7" xfId="22111"/>
    <cellStyle name="表体数字3位 51 3 8" xfId="22113"/>
    <cellStyle name="表体数字3位 51 4" xfId="22115"/>
    <cellStyle name="表体数字3位 51 5" xfId="22117"/>
    <cellStyle name="表体数字3位 51 6" xfId="13076"/>
    <cellStyle name="表体数字3位 51 7" xfId="13092"/>
    <cellStyle name="表体数字3位 51 8" xfId="13110"/>
    <cellStyle name="表体数字3位 51 9" xfId="13114"/>
    <cellStyle name="表体数字3位 52" xfId="22119"/>
    <cellStyle name="表体数字3位 52 10" xfId="22121"/>
    <cellStyle name="表体数字3位 52 2" xfId="22123"/>
    <cellStyle name="表体数字3位 52 2 2" xfId="22125"/>
    <cellStyle name="表体数字3位 52 2 3" xfId="22127"/>
    <cellStyle name="表体数字3位 52 2 4" xfId="22129"/>
    <cellStyle name="表体数字3位 52 2 5" xfId="22131"/>
    <cellStyle name="表体数字3位 52 2 6" xfId="22133"/>
    <cellStyle name="表体数字3位 52 2 7" xfId="22135"/>
    <cellStyle name="表体数字3位 52 2 8" xfId="22137"/>
    <cellStyle name="表体数字3位 52 3" xfId="22139"/>
    <cellStyle name="表体数字3位 52 3 2" xfId="22143"/>
    <cellStyle name="表体数字3位 52 3 3" xfId="22148"/>
    <cellStyle name="表体数字3位 52 3 4" xfId="22153"/>
    <cellStyle name="表体数字3位 52 3 5" xfId="22158"/>
    <cellStyle name="表体数字3位 52 3 6" xfId="22163"/>
    <cellStyle name="表体数字3位 52 3 7" xfId="22167"/>
    <cellStyle name="表体数字3位 52 3 8" xfId="22169"/>
    <cellStyle name="表体数字3位 52 4" xfId="22171"/>
    <cellStyle name="表体数字3位 52 5" xfId="22173"/>
    <cellStyle name="表体数字3位 52 6" xfId="13125"/>
    <cellStyle name="表体数字3位 52 7" xfId="13157"/>
    <cellStyle name="表体数字3位 52 8" xfId="13175"/>
    <cellStyle name="表体数字3位 52 9" xfId="13179"/>
    <cellStyle name="表体数字3位 53" xfId="22175"/>
    <cellStyle name="表体数字3位 53 10" xfId="22177"/>
    <cellStyle name="表体数字3位 53 2" xfId="22179"/>
    <cellStyle name="表体数字3位 53 2 2" xfId="22181"/>
    <cellStyle name="表体数字3位 53 2 3" xfId="22183"/>
    <cellStyle name="表体数字3位 53 2 4" xfId="22185"/>
    <cellStyle name="表体数字3位 53 2 5" xfId="22187"/>
    <cellStyle name="表体数字3位 53 2 6" xfId="22189"/>
    <cellStyle name="表体数字3位 53 2 7" xfId="18531"/>
    <cellStyle name="表体数字3位 53 2 8" xfId="18563"/>
    <cellStyle name="表体数字3位 53 3" xfId="22191"/>
    <cellStyle name="表体数字3位 53 3 2" xfId="22195"/>
    <cellStyle name="表体数字3位 53 3 3" xfId="22199"/>
    <cellStyle name="表体数字3位 53 3 4" xfId="22203"/>
    <cellStyle name="表体数字3位 53 3 5" xfId="22207"/>
    <cellStyle name="表体数字3位 53 3 6" xfId="22211"/>
    <cellStyle name="表体数字3位 53 3 7" xfId="18657"/>
    <cellStyle name="表体数字3位 53 3 8" xfId="18681"/>
    <cellStyle name="表体数字3位 53 4" xfId="22213"/>
    <cellStyle name="表体数字3位 53 5" xfId="22215"/>
    <cellStyle name="表体数字3位 53 6" xfId="13192"/>
    <cellStyle name="表体数字3位 53 7" xfId="13198"/>
    <cellStyle name="表体数字3位 53 8" xfId="13202"/>
    <cellStyle name="表体数字3位 53 9" xfId="13206"/>
    <cellStyle name="表体数字3位 54" xfId="22217"/>
    <cellStyle name="表体数字3位 54 10" xfId="22219"/>
    <cellStyle name="表体数字3位 54 2" xfId="22221"/>
    <cellStyle name="表体数字3位 54 2 2" xfId="22223"/>
    <cellStyle name="表体数字3位 54 2 3" xfId="1150"/>
    <cellStyle name="表体数字3位 54 2 4" xfId="22225"/>
    <cellStyle name="表体数字3位 54 2 5" xfId="22228"/>
    <cellStyle name="表体数字3位 54 2 6" xfId="22231"/>
    <cellStyle name="表体数字3位 54 2 7" xfId="22234"/>
    <cellStyle name="表体数字3位 54 2 8" xfId="22237"/>
    <cellStyle name="表体数字3位 54 3" xfId="22240"/>
    <cellStyle name="表体数字3位 54 3 2" xfId="22244"/>
    <cellStyle name="表体数字3位 54 3 3" xfId="22248"/>
    <cellStyle name="表体数字3位 54 3 4" xfId="22252"/>
    <cellStyle name="表体数字3位 54 3 5" xfId="22256"/>
    <cellStyle name="表体数字3位 54 3 6" xfId="22260"/>
    <cellStyle name="表体数字3位 54 3 7" xfId="22264"/>
    <cellStyle name="表体数字3位 54 3 8" xfId="22266"/>
    <cellStyle name="表体数字3位 54 4" xfId="22268"/>
    <cellStyle name="表体数字3位 54 5" xfId="22270"/>
    <cellStyle name="表体数字3位 54 6" xfId="13220"/>
    <cellStyle name="表体数字3位 54 7" xfId="13238"/>
    <cellStyle name="表体数字3位 54 8" xfId="13256"/>
    <cellStyle name="表体数字3位 54 9" xfId="13260"/>
    <cellStyle name="表体数字3位 55" xfId="22279"/>
    <cellStyle name="表体数字3位 55 10" xfId="14840"/>
    <cellStyle name="表体数字3位 55 2" xfId="22281"/>
    <cellStyle name="表体数字3位 55 2 2" xfId="22283"/>
    <cellStyle name="表体数字3位 55 2 3" xfId="22285"/>
    <cellStyle name="表体数字3位 55 2 4" xfId="10485"/>
    <cellStyle name="表体数字3位 55 2 5" xfId="10488"/>
    <cellStyle name="表体数字3位 55 2 6" xfId="1219"/>
    <cellStyle name="表体数字3位 55 2 7" xfId="1223"/>
    <cellStyle name="表体数字3位 55 2 8" xfId="10491"/>
    <cellStyle name="表体数字3位 55 3" xfId="22287"/>
    <cellStyle name="表体数字3位 55 3 2" xfId="22291"/>
    <cellStyle name="表体数字3位 55 3 3" xfId="22295"/>
    <cellStyle name="表体数字3位 55 3 4" xfId="22299"/>
    <cellStyle name="表体数字3位 55 3 5" xfId="22303"/>
    <cellStyle name="表体数字3位 55 3 6" xfId="22307"/>
    <cellStyle name="表体数字3位 55 3 7" xfId="22311"/>
    <cellStyle name="表体数字3位 55 3 8" xfId="22313"/>
    <cellStyle name="表体数字3位 55 4" xfId="22315"/>
    <cellStyle name="表体数字3位 55 5" xfId="22317"/>
    <cellStyle name="表体数字3位 55 6" xfId="13279"/>
    <cellStyle name="表体数字3位 55 7" xfId="13297"/>
    <cellStyle name="表体数字3位 55 8" xfId="13315"/>
    <cellStyle name="表体数字3位 55 9" xfId="13319"/>
    <cellStyle name="表体数字3位 56" xfId="9585"/>
    <cellStyle name="表体数字3位 56 10" xfId="9588"/>
    <cellStyle name="表体数字3位 56 2" xfId="9611"/>
    <cellStyle name="表体数字3位 56 2 2" xfId="9617"/>
    <cellStyle name="表体数字3位 56 2 3" xfId="9620"/>
    <cellStyle name="表体数字3位 56 2 4" xfId="3161"/>
    <cellStyle name="表体数字3位 56 2 5" xfId="3167"/>
    <cellStyle name="表体数字3位 56 2 6" xfId="9624"/>
    <cellStyle name="表体数字3位 56 2 7" xfId="9628"/>
    <cellStyle name="表体数字3位 56 2 8" xfId="9632"/>
    <cellStyle name="表体数字3位 56 3" xfId="9644"/>
    <cellStyle name="表体数字3位 56 3 2" xfId="9650"/>
    <cellStyle name="表体数字3位 56 3 3" xfId="9655"/>
    <cellStyle name="表体数字3位 56 3 4" xfId="9660"/>
    <cellStyle name="表体数字3位 56 3 5" xfId="9665"/>
    <cellStyle name="表体数字3位 56 3 6" xfId="9670"/>
    <cellStyle name="表体数字3位 56 3 7" xfId="9675"/>
    <cellStyle name="表体数字3位 56 3 8" xfId="9678"/>
    <cellStyle name="表体数字3位 56 4" xfId="9682"/>
    <cellStyle name="表体数字3位 56 5" xfId="9685"/>
    <cellStyle name="表体数字3位 56 6" xfId="9692"/>
    <cellStyle name="表体数字3位 56 7" xfId="9699"/>
    <cellStyle name="表体数字3位 56 8" xfId="9706"/>
    <cellStyle name="表体数字3位 56 9" xfId="9715"/>
    <cellStyle name="表体数字3位 57" xfId="11887"/>
    <cellStyle name="表体数字3位 57 10" xfId="22319"/>
    <cellStyle name="表体数字3位 57 2" xfId="11669"/>
    <cellStyle name="表体数字3位 57 2 2" xfId="11674"/>
    <cellStyle name="表体数字3位 57 2 3" xfId="11679"/>
    <cellStyle name="表体数字3位 57 2 4" xfId="3237"/>
    <cellStyle name="表体数字3位 57 2 5" xfId="3241"/>
    <cellStyle name="表体数字3位 57 2 6" xfId="10532"/>
    <cellStyle name="表体数字3位 57 2 7" xfId="10537"/>
    <cellStyle name="表体数字3位 57 2 8" xfId="10542"/>
    <cellStyle name="表体数字3位 57 3" xfId="22321"/>
    <cellStyle name="表体数字3位 57 3 2" xfId="22325"/>
    <cellStyle name="表体数字3位 57 3 3" xfId="22329"/>
    <cellStyle name="表体数字3位 57 3 4" xfId="22333"/>
    <cellStyle name="表体数字3位 57 3 5" xfId="22337"/>
    <cellStyle name="表体数字3位 57 3 6" xfId="22341"/>
    <cellStyle name="表体数字3位 57 3 7" xfId="21451"/>
    <cellStyle name="表体数字3位 57 3 8" xfId="21469"/>
    <cellStyle name="表体数字3位 57 4" xfId="22343"/>
    <cellStyle name="表体数字3位 57 5" xfId="22345"/>
    <cellStyle name="表体数字3位 57 6" xfId="15277"/>
    <cellStyle name="表体数字3位 57 7" xfId="15301"/>
    <cellStyle name="表体数字3位 57 8" xfId="15325"/>
    <cellStyle name="表体数字3位 57 9" xfId="13690"/>
    <cellStyle name="表体数字3位 58" xfId="22349"/>
    <cellStyle name="表体数字3位 58 10" xfId="22351"/>
    <cellStyle name="表体数字3位 58 2" xfId="22354"/>
    <cellStyle name="表体数字3位 58 2 2" xfId="22356"/>
    <cellStyle name="表体数字3位 58 2 3" xfId="8288"/>
    <cellStyle name="表体数字3位 58 2 4" xfId="10576"/>
    <cellStyle name="表体数字3位 58 2 5" xfId="10580"/>
    <cellStyle name="表体数字3位 58 2 6" xfId="10584"/>
    <cellStyle name="表体数字3位 58 2 7" xfId="10588"/>
    <cellStyle name="表体数字3位 58 2 8" xfId="10591"/>
    <cellStyle name="表体数字3位 58 3" xfId="22359"/>
    <cellStyle name="表体数字3位 58 3 2" xfId="22363"/>
    <cellStyle name="表体数字3位 58 3 3" xfId="22368"/>
    <cellStyle name="表体数字3位 58 3 4" xfId="22373"/>
    <cellStyle name="表体数字3位 58 3 5" xfId="22378"/>
    <cellStyle name="表体数字3位 58 3 6" xfId="22383"/>
    <cellStyle name="表体数字3位 58 3 7" xfId="22388"/>
    <cellStyle name="表体数字3位 58 3 8" xfId="22390"/>
    <cellStyle name="表体数字3位 58 4" xfId="22392"/>
    <cellStyle name="表体数字3位 58 5" xfId="22394"/>
    <cellStyle name="表体数字3位 58 6" xfId="15334"/>
    <cellStyle name="表体数字3位 58 7" xfId="15357"/>
    <cellStyle name="表体数字3位 58 8" xfId="15377"/>
    <cellStyle name="表体数字3位 58 9" xfId="15381"/>
    <cellStyle name="表体数字3位 59" xfId="22396"/>
    <cellStyle name="表体数字3位 59 10" xfId="22398"/>
    <cellStyle name="表体数字3位 59 2" xfId="22401"/>
    <cellStyle name="表体数字3位 59 2 2" xfId="22403"/>
    <cellStyle name="表体数字3位 59 2 3" xfId="22405"/>
    <cellStyle name="表体数字3位 59 2 4" xfId="10613"/>
    <cellStyle name="表体数字3位 59 2 5" xfId="10616"/>
    <cellStyle name="表体数字3位 59 2 6" xfId="10619"/>
    <cellStyle name="表体数字3位 59 2 7" xfId="10622"/>
    <cellStyle name="表体数字3位 59 2 8" xfId="10625"/>
    <cellStyle name="表体数字3位 59 3" xfId="22407"/>
    <cellStyle name="表体数字3位 59 3 2" xfId="22411"/>
    <cellStyle name="表体数字3位 59 3 3" xfId="22415"/>
    <cellStyle name="表体数字3位 59 3 4" xfId="22419"/>
    <cellStyle name="表体数字3位 59 3 5" xfId="22423"/>
    <cellStyle name="表体数字3位 59 3 6" xfId="22427"/>
    <cellStyle name="表体数字3位 59 3 7" xfId="22431"/>
    <cellStyle name="表体数字3位 59 3 8" xfId="22433"/>
    <cellStyle name="表体数字3位 59 4" xfId="22435"/>
    <cellStyle name="表体数字3位 59 5" xfId="22437"/>
    <cellStyle name="表体数字3位 59 6" xfId="15398"/>
    <cellStyle name="表体数字3位 59 7" xfId="15416"/>
    <cellStyle name="表体数字3位 59 8" xfId="15434"/>
    <cellStyle name="表体数字3位 59 9" xfId="15438"/>
    <cellStyle name="表体数字3位 6" xfId="22439"/>
    <cellStyle name="表体数字3位 6 10" xfId="17904"/>
    <cellStyle name="表体数字3位 6 2" xfId="11711"/>
    <cellStyle name="表体数字3位 6 2 2" xfId="3850"/>
    <cellStyle name="表体数字3位 6 2 3" xfId="22440"/>
    <cellStyle name="表体数字3位 6 2 4" xfId="22443"/>
    <cellStyle name="表体数字3位 6 2 5" xfId="22446"/>
    <cellStyle name="表体数字3位 6 2 6" xfId="22449"/>
    <cellStyle name="表体数字3位 6 2 7" xfId="3931"/>
    <cellStyle name="表体数字3位 6 2 8" xfId="3953"/>
    <cellStyle name="表体数字3位 6 3" xfId="20225"/>
    <cellStyle name="表体数字3位 6 3 2" xfId="3981"/>
    <cellStyle name="表体数字3位 6 3 3" xfId="5683"/>
    <cellStyle name="表体数字3位 6 3 4" xfId="20232"/>
    <cellStyle name="表体数字3位 6 3 5" xfId="20235"/>
    <cellStyle name="表体数字3位 6 3 6" xfId="20238"/>
    <cellStyle name="表体数字3位 6 3 7" xfId="6436"/>
    <cellStyle name="表体数字3位 6 3 8" xfId="3087"/>
    <cellStyle name="表体数字3位 6 4" xfId="20241"/>
    <cellStyle name="表体数字3位 6 5" xfId="20258"/>
    <cellStyle name="表体数字3位 6 6" xfId="20265"/>
    <cellStyle name="表体数字3位 6 7" xfId="20272"/>
    <cellStyle name="表体数字3位 6 8" xfId="20275"/>
    <cellStyle name="表体数字3位 6 9" xfId="20278"/>
    <cellStyle name="表体数字3位 60" xfId="22280"/>
    <cellStyle name="表体数字3位 60 10" xfId="14841"/>
    <cellStyle name="表体数字3位 60 2" xfId="22282"/>
    <cellStyle name="表体数字3位 60 2 2" xfId="22284"/>
    <cellStyle name="表体数字3位 60 2 3" xfId="22286"/>
    <cellStyle name="表体数字3位 60 2 4" xfId="10486"/>
    <cellStyle name="表体数字3位 60 2 5" xfId="10489"/>
    <cellStyle name="表体数字3位 60 2 6" xfId="1218"/>
    <cellStyle name="表体数字3位 60 2 7" xfId="1222"/>
    <cellStyle name="表体数字3位 60 2 8" xfId="10492"/>
    <cellStyle name="表体数字3位 60 3" xfId="22288"/>
    <cellStyle name="表体数字3位 60 3 2" xfId="22292"/>
    <cellStyle name="表体数字3位 60 3 3" xfId="22296"/>
    <cellStyle name="表体数字3位 60 3 4" xfId="22300"/>
    <cellStyle name="表体数字3位 60 3 5" xfId="22304"/>
    <cellStyle name="表体数字3位 60 3 6" xfId="22308"/>
    <cellStyle name="表体数字3位 60 3 7" xfId="22312"/>
    <cellStyle name="表体数字3位 60 3 8" xfId="22314"/>
    <cellStyle name="表体数字3位 60 4" xfId="22316"/>
    <cellStyle name="表体数字3位 60 5" xfId="22318"/>
    <cellStyle name="表体数字3位 60 6" xfId="13280"/>
    <cellStyle name="表体数字3位 60 7" xfId="13298"/>
    <cellStyle name="表体数字3位 60 8" xfId="13316"/>
    <cellStyle name="表体数字3位 60 9" xfId="13320"/>
    <cellStyle name="表体数字3位 61" xfId="9586"/>
    <cellStyle name="表体数字3位 61 10" xfId="9589"/>
    <cellStyle name="表体数字3位 61 2" xfId="9612"/>
    <cellStyle name="表体数字3位 61 2 2" xfId="9618"/>
    <cellStyle name="表体数字3位 61 2 3" xfId="9621"/>
    <cellStyle name="表体数字3位 61 2 4" xfId="3160"/>
    <cellStyle name="表体数字3位 61 2 5" xfId="3166"/>
    <cellStyle name="表体数字3位 61 2 6" xfId="9625"/>
    <cellStyle name="表体数字3位 61 2 7" xfId="9629"/>
    <cellStyle name="表体数字3位 61 2 8" xfId="9633"/>
    <cellStyle name="表体数字3位 61 3" xfId="9645"/>
    <cellStyle name="表体数字3位 61 3 2" xfId="9651"/>
    <cellStyle name="表体数字3位 61 3 3" xfId="9656"/>
    <cellStyle name="表体数字3位 61 3 4" xfId="9661"/>
    <cellStyle name="表体数字3位 61 3 5" xfId="9666"/>
    <cellStyle name="表体数字3位 61 3 6" xfId="9671"/>
    <cellStyle name="表体数字3位 61 3 7" xfId="9676"/>
    <cellStyle name="表体数字3位 61 3 8" xfId="9679"/>
    <cellStyle name="表体数字3位 61 4" xfId="9683"/>
    <cellStyle name="表体数字3位 61 5" xfId="9686"/>
    <cellStyle name="表体数字3位 61 6" xfId="9693"/>
    <cellStyle name="表体数字3位 61 7" xfId="9700"/>
    <cellStyle name="表体数字3位 61 8" xfId="9707"/>
    <cellStyle name="表体数字3位 61 9" xfId="9716"/>
    <cellStyle name="表体数字3位 62" xfId="11888"/>
    <cellStyle name="表体数字3位 62 10" xfId="22320"/>
    <cellStyle name="表体数字3位 62 2" xfId="11670"/>
    <cellStyle name="表体数字3位 62 2 2" xfId="11675"/>
    <cellStyle name="表体数字3位 62 2 3" xfId="11680"/>
    <cellStyle name="表体数字3位 62 2 4" xfId="3236"/>
    <cellStyle name="表体数字3位 62 2 5" xfId="3240"/>
    <cellStyle name="表体数字3位 62 2 6" xfId="10533"/>
    <cellStyle name="表体数字3位 62 2 7" xfId="10538"/>
    <cellStyle name="表体数字3位 62 2 8" xfId="10543"/>
    <cellStyle name="表体数字3位 62 3" xfId="22322"/>
    <cellStyle name="表体数字3位 62 3 2" xfId="22326"/>
    <cellStyle name="表体数字3位 62 3 3" xfId="22330"/>
    <cellStyle name="表体数字3位 62 3 4" xfId="22334"/>
    <cellStyle name="表体数字3位 62 3 5" xfId="22338"/>
    <cellStyle name="表体数字3位 62 3 6" xfId="22342"/>
    <cellStyle name="表体数字3位 62 3 7" xfId="21452"/>
    <cellStyle name="表体数字3位 62 3 8" xfId="21470"/>
    <cellStyle name="表体数字3位 62 4" xfId="22344"/>
    <cellStyle name="表体数字3位 62 5" xfId="22346"/>
    <cellStyle name="表体数字3位 62 6" xfId="15278"/>
    <cellStyle name="表体数字3位 62 7" xfId="15302"/>
    <cellStyle name="表体数字3位 62 8" xfId="15326"/>
    <cellStyle name="表体数字3位 62 9" xfId="13691"/>
    <cellStyle name="表体数字3位 63" xfId="22350"/>
    <cellStyle name="表体数字3位 63 10" xfId="22352"/>
    <cellStyle name="表体数字3位 63 2" xfId="22355"/>
    <cellStyle name="表体数字3位 63 2 2" xfId="22357"/>
    <cellStyle name="表体数字3位 63 2 3" xfId="8289"/>
    <cellStyle name="表体数字3位 63 2 4" xfId="10577"/>
    <cellStyle name="表体数字3位 63 2 5" xfId="10581"/>
    <cellStyle name="表体数字3位 63 2 6" xfId="10585"/>
    <cellStyle name="表体数字3位 63 2 7" xfId="10589"/>
    <cellStyle name="表体数字3位 63 2 8" xfId="10592"/>
    <cellStyle name="表体数字3位 63 3" xfId="22360"/>
    <cellStyle name="表体数字3位 63 3 2" xfId="22364"/>
    <cellStyle name="表体数字3位 63 3 3" xfId="22369"/>
    <cellStyle name="表体数字3位 63 3 4" xfId="22374"/>
    <cellStyle name="表体数字3位 63 3 5" xfId="22379"/>
    <cellStyle name="表体数字3位 63 3 6" xfId="22384"/>
    <cellStyle name="表体数字3位 63 3 7" xfId="22389"/>
    <cellStyle name="表体数字3位 63 3 8" xfId="22391"/>
    <cellStyle name="表体数字3位 63 4" xfId="22393"/>
    <cellStyle name="表体数字3位 63 5" xfId="22395"/>
    <cellStyle name="表体数字3位 63 6" xfId="15335"/>
    <cellStyle name="表体数字3位 63 7" xfId="15358"/>
    <cellStyle name="表体数字3位 63 8" xfId="15378"/>
    <cellStyle name="表体数字3位 63 9" xfId="15382"/>
    <cellStyle name="表体数字3位 64" xfId="22397"/>
    <cellStyle name="表体数字3位 64 10" xfId="22399"/>
    <cellStyle name="表体数字3位 64 2" xfId="22402"/>
    <cellStyle name="表体数字3位 64 2 2" xfId="22404"/>
    <cellStyle name="表体数字3位 64 2 3" xfId="22406"/>
    <cellStyle name="表体数字3位 64 2 4" xfId="10614"/>
    <cellStyle name="表体数字3位 64 2 5" xfId="10617"/>
    <cellStyle name="表体数字3位 64 2 6" xfId="10620"/>
    <cellStyle name="表体数字3位 64 2 7" xfId="10623"/>
    <cellStyle name="表体数字3位 64 2 8" xfId="10626"/>
    <cellStyle name="表体数字3位 64 3" xfId="22408"/>
    <cellStyle name="表体数字3位 64 3 2" xfId="22412"/>
    <cellStyle name="表体数字3位 64 3 3" xfId="22416"/>
    <cellStyle name="表体数字3位 64 3 4" xfId="22420"/>
    <cellStyle name="表体数字3位 64 3 5" xfId="22424"/>
    <cellStyle name="表体数字3位 64 3 6" xfId="22428"/>
    <cellStyle name="表体数字3位 64 3 7" xfId="22432"/>
    <cellStyle name="表体数字3位 64 3 8" xfId="22434"/>
    <cellStyle name="表体数字3位 64 4" xfId="22436"/>
    <cellStyle name="表体数字3位 64 5" xfId="22438"/>
    <cellStyle name="表体数字3位 64 6" xfId="15399"/>
    <cellStyle name="表体数字3位 64 7" xfId="15417"/>
    <cellStyle name="表体数字3位 64 8" xfId="15435"/>
    <cellStyle name="表体数字3位 64 9" xfId="15439"/>
    <cellStyle name="表体数字3位 65" xfId="22452"/>
    <cellStyle name="表体数字3位 65 10" xfId="14893"/>
    <cellStyle name="表体数字3位 65 2" xfId="22454"/>
    <cellStyle name="表体数字3位 65 2 2" xfId="22455"/>
    <cellStyle name="表体数字3位 65 2 3" xfId="22456"/>
    <cellStyle name="表体数字3位 65 2 4" xfId="10654"/>
    <cellStyle name="表体数字3位 65 2 5" xfId="10657"/>
    <cellStyle name="表体数字3位 65 2 6" xfId="10660"/>
    <cellStyle name="表体数字3位 65 2 7" xfId="10663"/>
    <cellStyle name="表体数字3位 65 2 8" xfId="10666"/>
    <cellStyle name="表体数字3位 65 3" xfId="22457"/>
    <cellStyle name="表体数字3位 65 3 2" xfId="6860"/>
    <cellStyle name="表体数字3位 65 3 3" xfId="6873"/>
    <cellStyle name="表体数字3位 65 3 4" xfId="22460"/>
    <cellStyle name="表体数字3位 65 3 5" xfId="22463"/>
    <cellStyle name="表体数字3位 65 3 6" xfId="22466"/>
    <cellStyle name="表体数字3位 65 3 7" xfId="22469"/>
    <cellStyle name="表体数字3位 65 3 8" xfId="22470"/>
    <cellStyle name="表体数字3位 65 4" xfId="22471"/>
    <cellStyle name="表体数字3位 65 5" xfId="22472"/>
    <cellStyle name="表体数字3位 65 6" xfId="15455"/>
    <cellStyle name="表体数字3位 65 7" xfId="15458"/>
    <cellStyle name="表体数字3位 65 8" xfId="15469"/>
    <cellStyle name="表体数字3位 65 9" xfId="15472"/>
    <cellStyle name="表体数字3位 66" xfId="22473"/>
    <cellStyle name="表体数字3位 66 10" xfId="22475"/>
    <cellStyle name="表体数字3位 66 2" xfId="22476"/>
    <cellStyle name="表体数字3位 66 2 2" xfId="22477"/>
    <cellStyle name="表体数字3位 66 2 3" xfId="22478"/>
    <cellStyle name="表体数字3位 66 2 4" xfId="10686"/>
    <cellStyle name="表体数字3位 66 2 5" xfId="10688"/>
    <cellStyle name="表体数字3位 66 2 6" xfId="10690"/>
    <cellStyle name="表体数字3位 66 2 7" xfId="10692"/>
    <cellStyle name="表体数字3位 66 2 8" xfId="10694"/>
    <cellStyle name="表体数字3位 66 3" xfId="22479"/>
    <cellStyle name="表体数字3位 66 3 2" xfId="22482"/>
    <cellStyle name="表体数字3位 66 3 3" xfId="22485"/>
    <cellStyle name="表体数字3位 66 3 4" xfId="22488"/>
    <cellStyle name="表体数字3位 66 3 5" xfId="22491"/>
    <cellStyle name="表体数字3位 66 3 6" xfId="22494"/>
    <cellStyle name="表体数字3位 66 3 7" xfId="22497"/>
    <cellStyle name="表体数字3位 66 3 8" xfId="22498"/>
    <cellStyle name="表体数字3位 66 4" xfId="22499"/>
    <cellStyle name="表体数字3位 66 5" xfId="22500"/>
    <cellStyle name="表体数字3位 66 6" xfId="15517"/>
    <cellStyle name="表体数字3位 66 7" xfId="15534"/>
    <cellStyle name="表体数字3位 66 8" xfId="15551"/>
    <cellStyle name="表体数字3位 66 9" xfId="15556"/>
    <cellStyle name="表体数字3位 67" xfId="22501"/>
    <cellStyle name="表体数字3位 67 2" xfId="11734"/>
    <cellStyle name="表体数字3位 67 3" xfId="22503"/>
    <cellStyle name="表体数字3位 67 4" xfId="22504"/>
    <cellStyle name="表体数字3位 67 5" xfId="22505"/>
    <cellStyle name="表体数字3位 67 6" xfId="15578"/>
    <cellStyle name="表体数字3位 67 7" xfId="15596"/>
    <cellStyle name="表体数字3位 67 8" xfId="15616"/>
    <cellStyle name="表体数字3位 68" xfId="22506"/>
    <cellStyle name="表体数字3位 68 2" xfId="22508"/>
    <cellStyle name="表体数字3位 68 3" xfId="22509"/>
    <cellStyle name="表体数字3位 68 4" xfId="22510"/>
    <cellStyle name="表体数字3位 68 5" xfId="22511"/>
    <cellStyle name="表体数字3位 68 6" xfId="15647"/>
    <cellStyle name="表体数字3位 68 7" xfId="15665"/>
    <cellStyle name="表体数字3位 68 8" xfId="15683"/>
    <cellStyle name="表体数字3位 69" xfId="22512"/>
    <cellStyle name="表体数字3位 7" xfId="22514"/>
    <cellStyle name="表体数字3位 7 10" xfId="12937"/>
    <cellStyle name="表体数字3位 7 2" xfId="11718"/>
    <cellStyle name="表体数字3位 7 2 2" xfId="22515"/>
    <cellStyle name="表体数字3位 7 2 3" xfId="22516"/>
    <cellStyle name="表体数字3位 7 2 4" xfId="22517"/>
    <cellStyle name="表体数字3位 7 2 5" xfId="22518"/>
    <cellStyle name="表体数字3位 7 2 6" xfId="22519"/>
    <cellStyle name="表体数字3位 7 2 7" xfId="6493"/>
    <cellStyle name="表体数字3位 7 2 8" xfId="6495"/>
    <cellStyle name="表体数字3位 7 3" xfId="20291"/>
    <cellStyle name="表体数字3位 7 3 2" xfId="20294"/>
    <cellStyle name="表体数字3位 7 3 3" xfId="20297"/>
    <cellStyle name="表体数字3位 7 3 4" xfId="20300"/>
    <cellStyle name="表体数字3位 7 3 5" xfId="12914"/>
    <cellStyle name="表体数字3位 7 3 6" xfId="20303"/>
    <cellStyle name="表体数字3位 7 3 7" xfId="4887"/>
    <cellStyle name="表体数字3位 7 3 8" xfId="4892"/>
    <cellStyle name="表体数字3位 7 4" xfId="20306"/>
    <cellStyle name="表体数字3位 7 5" xfId="20319"/>
    <cellStyle name="表体数字3位 7 6" xfId="20322"/>
    <cellStyle name="表体数字3位 7 7" xfId="20325"/>
    <cellStyle name="表体数字3位 7 8" xfId="20328"/>
    <cellStyle name="表体数字3位 7 9" xfId="20331"/>
    <cellStyle name="表体数字3位 70" xfId="22453"/>
    <cellStyle name="表体数字3位 71" xfId="22474"/>
    <cellStyle name="表体数字3位 72" xfId="22502"/>
    <cellStyle name="表体数字3位 73" xfId="22507"/>
    <cellStyle name="表体数字3位 74" xfId="22513"/>
    <cellStyle name="表体数字3位 75" xfId="22520"/>
    <cellStyle name="表体数字3位 8" xfId="22521"/>
    <cellStyle name="表体数字3位 8 10" xfId="13182"/>
    <cellStyle name="表体数字3位 8 2" xfId="11721"/>
    <cellStyle name="表体数字3位 8 2 2" xfId="22522"/>
    <cellStyle name="表体数字3位 8 2 3" xfId="22523"/>
    <cellStyle name="表体数字3位 8 2 4" xfId="5318"/>
    <cellStyle name="表体数字3位 8 2 5" xfId="4579"/>
    <cellStyle name="表体数字3位 8 2 6" xfId="22524"/>
    <cellStyle name="表体数字3位 8 2 7" xfId="22525"/>
    <cellStyle name="表体数字3位 8 2 8" xfId="22526"/>
    <cellStyle name="表体数字3位 8 3" xfId="20357"/>
    <cellStyle name="表体数字3位 8 3 2" xfId="4985"/>
    <cellStyle name="表体数字3位 8 3 3" xfId="20360"/>
    <cellStyle name="表体数字3位 8 3 4" xfId="20363"/>
    <cellStyle name="表体数字3位 8 3 5" xfId="13121"/>
    <cellStyle name="表体数字3位 8 3 6" xfId="20366"/>
    <cellStyle name="表体数字3位 8 3 7" xfId="20369"/>
    <cellStyle name="表体数字3位 8 3 8" xfId="20372"/>
    <cellStyle name="表体数字3位 8 4" xfId="20375"/>
    <cellStyle name="表体数字3位 8 5" xfId="20392"/>
    <cellStyle name="表体数字3位 8 6" xfId="20395"/>
    <cellStyle name="表体数字3位 8 7" xfId="20398"/>
    <cellStyle name="表体数字3位 8 8" xfId="20401"/>
    <cellStyle name="表体数字3位 8 9" xfId="20404"/>
    <cellStyle name="表体数字3位 9" xfId="22527"/>
    <cellStyle name="表体数字3位 9 10" xfId="13698"/>
    <cellStyle name="表体数字3位 9 2" xfId="11724"/>
    <cellStyle name="表体数字3位 9 2 2" xfId="22528"/>
    <cellStyle name="表体数字3位 9 2 3" xfId="22529"/>
    <cellStyle name="表体数字3位 9 2 4" xfId="22530"/>
    <cellStyle name="表体数字3位 9 2 5" xfId="22531"/>
    <cellStyle name="表体数字3位 9 2 6" xfId="22532"/>
    <cellStyle name="表体数字3位 9 2 7" xfId="22533"/>
    <cellStyle name="表体数字3位 9 2 8" xfId="9859"/>
    <cellStyle name="表体数字3位 9 3" xfId="20410"/>
    <cellStyle name="表体数字3位 9 3 2" xfId="20413"/>
    <cellStyle name="表体数字3位 9 3 3" xfId="20416"/>
    <cellStyle name="表体数字3位 9 3 4" xfId="20419"/>
    <cellStyle name="表体数字3位 9 3 5" xfId="15274"/>
    <cellStyle name="表体数字3位 9 3 6" xfId="20422"/>
    <cellStyle name="表体数字3位 9 3 7" xfId="20425"/>
    <cellStyle name="表体数字3位 9 3 8" xfId="20428"/>
    <cellStyle name="表体数字3位 9 4" xfId="20431"/>
    <cellStyle name="表体数字3位 9 5" xfId="20448"/>
    <cellStyle name="表体数字3位 9 6" xfId="20451"/>
    <cellStyle name="表体数字3位 9 7" xfId="20454"/>
    <cellStyle name="表体数字3位 9 8" xfId="20457"/>
    <cellStyle name="表体数字3位 9 9" xfId="20460"/>
    <cellStyle name="表体数字3位(小)" xfId="22534"/>
    <cellStyle name="表体数字3位(小) 10" xfId="22535"/>
    <cellStyle name="表体数字3位(小) 10 10" xfId="22536"/>
    <cellStyle name="表体数字3位(小) 10 2" xfId="22537"/>
    <cellStyle name="表体数字3位(小) 10 2 2" xfId="22539"/>
    <cellStyle name="表体数字3位(小) 10 2 3" xfId="22541"/>
    <cellStyle name="表体数字3位(小) 10 2 4" xfId="22543"/>
    <cellStyle name="表体数字3位(小) 10 2 5" xfId="22545"/>
    <cellStyle name="表体数字3位(小) 10 2 6" xfId="22547"/>
    <cellStyle name="表体数字3位(小) 10 2 7" xfId="22549"/>
    <cellStyle name="表体数字3位(小) 10 2 8" xfId="22551"/>
    <cellStyle name="表体数字3位(小) 10 3" xfId="22552"/>
    <cellStyle name="表体数字3位(小) 10 3 2" xfId="22554"/>
    <cellStyle name="表体数字3位(小) 10 3 3" xfId="22556"/>
    <cellStyle name="表体数字3位(小) 10 3 4" xfId="22558"/>
    <cellStyle name="表体数字3位(小) 10 3 5" xfId="22560"/>
    <cellStyle name="表体数字3位(小) 10 3 6" xfId="22562"/>
    <cellStyle name="表体数字3位(小) 10 3 7" xfId="22564"/>
    <cellStyle name="表体数字3位(小) 10 3 8" xfId="22566"/>
    <cellStyle name="表体数字3位(小) 10 4" xfId="22568"/>
    <cellStyle name="表体数字3位(小) 10 5" xfId="22570"/>
    <cellStyle name="表体数字3位(小) 10 6" xfId="22572"/>
    <cellStyle name="表体数字3位(小) 10 7" xfId="22574"/>
    <cellStyle name="表体数字3位(小) 10 8" xfId="22576"/>
    <cellStyle name="表体数字3位(小) 10 9" xfId="22577"/>
    <cellStyle name="表体数字3位(小) 11" xfId="22578"/>
    <cellStyle name="表体数字3位(小) 11 10" xfId="22579"/>
    <cellStyle name="表体数字3位(小) 11 2" xfId="22580"/>
    <cellStyle name="表体数字3位(小) 11 2 2" xfId="22581"/>
    <cellStyle name="表体数字3位(小) 11 2 3" xfId="22584"/>
    <cellStyle name="表体数字3位(小) 11 2 4" xfId="22587"/>
    <cellStyle name="表体数字3位(小) 11 2 5" xfId="5307"/>
    <cellStyle name="表体数字3位(小) 11 2 6" xfId="594"/>
    <cellStyle name="表体数字3位(小) 11 2 7" xfId="604"/>
    <cellStyle name="表体数字3位(小) 11 2 8" xfId="5531"/>
    <cellStyle name="表体数字3位(小) 11 3" xfId="22590"/>
    <cellStyle name="表体数字3位(小) 11 3 2" xfId="22591"/>
    <cellStyle name="表体数字3位(小) 11 3 3" xfId="22594"/>
    <cellStyle name="表体数字3位(小) 11 3 4" xfId="22597"/>
    <cellStyle name="表体数字3位(小) 11 3 5" xfId="22600"/>
    <cellStyle name="表体数字3位(小) 11 3 6" xfId="22603"/>
    <cellStyle name="表体数字3位(小) 11 3 7" xfId="22606"/>
    <cellStyle name="表体数字3位(小) 11 3 8" xfId="22609"/>
    <cellStyle name="表体数字3位(小) 11 4" xfId="22611"/>
    <cellStyle name="表体数字3位(小) 11 5" xfId="22612"/>
    <cellStyle name="表体数字3位(小) 11 6" xfId="22613"/>
    <cellStyle name="表体数字3位(小) 11 7" xfId="8296"/>
    <cellStyle name="表体数字3位(小) 11 8" xfId="8298"/>
    <cellStyle name="表体数字3位(小) 11 9" xfId="22614"/>
    <cellStyle name="表体数字3位(小) 12" xfId="22615"/>
    <cellStyle name="表体数字3位(小) 12 10" xfId="22616"/>
    <cellStyle name="表体数字3位(小) 12 2" xfId="22619"/>
    <cellStyle name="表体数字3位(小) 12 2 2" xfId="13263"/>
    <cellStyle name="表体数字3位(小) 12 2 3" xfId="13266"/>
    <cellStyle name="表体数字3位(小) 12 2 4" xfId="13269"/>
    <cellStyle name="表体数字3位(小) 12 2 5" xfId="13272"/>
    <cellStyle name="表体数字3位(小) 12 2 6" xfId="22622"/>
    <cellStyle name="表体数字3位(小) 12 2 7" xfId="22623"/>
    <cellStyle name="表体数字3位(小) 12 2 8" xfId="22624"/>
    <cellStyle name="表体数字3位(小) 12 3" xfId="22625"/>
    <cellStyle name="表体数字3位(小) 12 3 2" xfId="13323"/>
    <cellStyle name="表体数字3位(小) 12 3 3" xfId="6659"/>
    <cellStyle name="表体数字3位(小) 12 3 4" xfId="6663"/>
    <cellStyle name="表体数字3位(小) 12 3 5" xfId="13326"/>
    <cellStyle name="表体数字3位(小) 12 3 6" xfId="22628"/>
    <cellStyle name="表体数字3位(小) 12 3 7" xfId="22629"/>
    <cellStyle name="表体数字3位(小) 12 3 8" xfId="22630"/>
    <cellStyle name="表体数字3位(小) 12 4" xfId="22631"/>
    <cellStyle name="表体数字3位(小) 12 5" xfId="22634"/>
    <cellStyle name="表体数字3位(小) 12 6" xfId="22637"/>
    <cellStyle name="表体数字3位(小) 12 7" xfId="8301"/>
    <cellStyle name="表体数字3位(小) 12 8" xfId="8303"/>
    <cellStyle name="表体数字3位(小) 12 9" xfId="2503"/>
    <cellStyle name="表体数字3位(小) 13" xfId="22638"/>
    <cellStyle name="表体数字3位(小) 13 10" xfId="22639"/>
    <cellStyle name="表体数字3位(小) 13 2" xfId="22640"/>
    <cellStyle name="表体数字3位(小) 13 2 2" xfId="5515"/>
    <cellStyle name="表体数字3位(小) 13 2 3" xfId="5589"/>
    <cellStyle name="表体数字3位(小) 13 2 4" xfId="5598"/>
    <cellStyle name="表体数字3位(小) 13 2 5" xfId="22643"/>
    <cellStyle name="表体数字3位(小) 13 2 6" xfId="8642"/>
    <cellStyle name="表体数字3位(小) 13 2 7" xfId="8647"/>
    <cellStyle name="表体数字3位(小) 13 2 8" xfId="8653"/>
    <cellStyle name="表体数字3位(小) 13 3" xfId="22646"/>
    <cellStyle name="表体数字3位(小) 13 3 2" xfId="22649"/>
    <cellStyle name="表体数字3位(小) 13 3 3" xfId="22650"/>
    <cellStyle name="表体数字3位(小) 13 3 4" xfId="22651"/>
    <cellStyle name="表体数字3位(小) 13 3 5" xfId="22654"/>
    <cellStyle name="表体数字3位(小) 13 3 6" xfId="8681"/>
    <cellStyle name="表体数字3位(小) 13 3 7" xfId="8685"/>
    <cellStyle name="表体数字3位(小) 13 3 8" xfId="22657"/>
    <cellStyle name="表体数字3位(小) 13 4" xfId="22660"/>
    <cellStyle name="表体数字3位(小) 13 5" xfId="22663"/>
    <cellStyle name="表体数字3位(小) 13 6" xfId="22666"/>
    <cellStyle name="表体数字3位(小) 13 7" xfId="8306"/>
    <cellStyle name="表体数字3位(小) 13 8" xfId="8308"/>
    <cellStyle name="表体数字3位(小) 13 9" xfId="22667"/>
    <cellStyle name="表体数字3位(小) 14" xfId="22668"/>
    <cellStyle name="表体数字3位(小) 14 10" xfId="19919"/>
    <cellStyle name="表体数字3位(小) 14 2" xfId="14962"/>
    <cellStyle name="表体数字3位(小) 14 2 2" xfId="4049"/>
    <cellStyle name="表体数字3位(小) 14 2 3" xfId="4050"/>
    <cellStyle name="表体数字3位(小) 14 2 4" xfId="4053"/>
    <cellStyle name="表体数字3位(小) 14 2 5" xfId="4062"/>
    <cellStyle name="表体数字3位(小) 14 2 6" xfId="4074"/>
    <cellStyle name="表体数字3位(小) 14 2 7" xfId="4078"/>
    <cellStyle name="表体数字3位(小) 14 2 8" xfId="4082"/>
    <cellStyle name="表体数字3位(小) 14 3" xfId="14966"/>
    <cellStyle name="表体数字3位(小) 14 3 2" xfId="22669"/>
    <cellStyle name="表体数字3位(小) 14 3 3" xfId="22671"/>
    <cellStyle name="表体数字3位(小) 14 3 4" xfId="22673"/>
    <cellStyle name="表体数字3位(小) 14 3 5" xfId="22676"/>
    <cellStyle name="表体数字3位(小) 14 3 6" xfId="22679"/>
    <cellStyle name="表体数字3位(小) 14 3 7" xfId="22681"/>
    <cellStyle name="表体数字3位(小) 14 3 8" xfId="22683"/>
    <cellStyle name="表体数字3位(小) 14 4" xfId="14970"/>
    <cellStyle name="表体数字3位(小) 14 5" xfId="22685"/>
    <cellStyle name="表体数字3位(小) 14 6" xfId="22689"/>
    <cellStyle name="表体数字3位(小) 14 7" xfId="8311"/>
    <cellStyle name="表体数字3位(小) 14 8" xfId="8316"/>
    <cellStyle name="表体数字3位(小) 14 9" xfId="22693"/>
    <cellStyle name="表体数字3位(小) 15" xfId="22696"/>
    <cellStyle name="表体数字3位(小) 15 10" xfId="22698"/>
    <cellStyle name="表体数字3位(小) 15 2" xfId="14990"/>
    <cellStyle name="表体数字3位(小) 15 2 2" xfId="22700"/>
    <cellStyle name="表体数字3位(小) 15 2 3" xfId="22702"/>
    <cellStyle name="表体数字3位(小) 15 2 4" xfId="22704"/>
    <cellStyle name="表体数字3位(小) 15 2 5" xfId="22706"/>
    <cellStyle name="表体数字3位(小) 15 2 6" xfId="22708"/>
    <cellStyle name="表体数字3位(小) 15 2 7" xfId="22710"/>
    <cellStyle name="表体数字3位(小) 15 2 8" xfId="22712"/>
    <cellStyle name="表体数字3位(小) 15 3" xfId="14995"/>
    <cellStyle name="表体数字3位(小) 15 3 2" xfId="22714"/>
    <cellStyle name="表体数字3位(小) 15 3 3" xfId="22716"/>
    <cellStyle name="表体数字3位(小) 15 3 4" xfId="22718"/>
    <cellStyle name="表体数字3位(小) 15 3 5" xfId="22720"/>
    <cellStyle name="表体数字3位(小) 15 3 6" xfId="22722"/>
    <cellStyle name="表体数字3位(小) 15 3 7" xfId="22724"/>
    <cellStyle name="表体数字3位(小) 15 3 8" xfId="22726"/>
    <cellStyle name="表体数字3位(小) 15 4" xfId="15000"/>
    <cellStyle name="表体数字3位(小) 15 5" xfId="22728"/>
    <cellStyle name="表体数字3位(小) 15 6" xfId="22733"/>
    <cellStyle name="表体数字3位(小) 15 7" xfId="8321"/>
    <cellStyle name="表体数字3位(小) 15 8" xfId="8327"/>
    <cellStyle name="表体数字3位(小) 15 9" xfId="22738"/>
    <cellStyle name="表体数字3位(小) 16" xfId="10559"/>
    <cellStyle name="表体数字3位(小) 16 10" xfId="128"/>
    <cellStyle name="表体数字3位(小) 16 2" xfId="22742"/>
    <cellStyle name="表体数字3位(小) 16 2 2" xfId="22744"/>
    <cellStyle name="表体数字3位(小) 16 2 3" xfId="22746"/>
    <cellStyle name="表体数字3位(小) 16 2 4" xfId="22748"/>
    <cellStyle name="表体数字3位(小) 16 2 5" xfId="22750"/>
    <cellStyle name="表体数字3位(小) 16 2 6" xfId="22752"/>
    <cellStyle name="表体数字3位(小) 16 2 7" xfId="22754"/>
    <cellStyle name="表体数字3位(小) 16 2 8" xfId="22756"/>
    <cellStyle name="表体数字3位(小) 16 3" xfId="22758"/>
    <cellStyle name="表体数字3位(小) 16 3 2" xfId="22760"/>
    <cellStyle name="表体数字3位(小) 16 3 3" xfId="22762"/>
    <cellStyle name="表体数字3位(小) 16 3 4" xfId="22764"/>
    <cellStyle name="表体数字3位(小) 16 3 5" xfId="22766"/>
    <cellStyle name="表体数字3位(小) 16 3 6" xfId="22768"/>
    <cellStyle name="表体数字3位(小) 16 3 7" xfId="22770"/>
    <cellStyle name="表体数字3位(小) 16 3 8" xfId="22772"/>
    <cellStyle name="表体数字3位(小) 16 4" xfId="22774"/>
    <cellStyle name="表体数字3位(小) 16 5" xfId="22776"/>
    <cellStyle name="表体数字3位(小) 16 6" xfId="22778"/>
    <cellStyle name="表体数字3位(小) 16 7" xfId="8333"/>
    <cellStyle name="表体数字3位(小) 16 8" xfId="8336"/>
    <cellStyle name="表体数字3位(小) 16 9" xfId="22780"/>
    <cellStyle name="表体数字3位(小) 17" xfId="22782"/>
    <cellStyle name="表体数字3位(小) 17 10" xfId="22784"/>
    <cellStyle name="表体数字3位(小) 17 2" xfId="22788"/>
    <cellStyle name="表体数字3位(小) 17 2 2" xfId="12768"/>
    <cellStyle name="表体数字3位(小) 17 2 3" xfId="12771"/>
    <cellStyle name="表体数字3位(小) 17 2 4" xfId="12774"/>
    <cellStyle name="表体数字3位(小) 17 2 5" xfId="12777"/>
    <cellStyle name="表体数字3位(小) 17 2 6" xfId="12780"/>
    <cellStyle name="表体数字3位(小) 17 2 7" xfId="12813"/>
    <cellStyle name="表体数字3位(小) 17 2 8" xfId="22790"/>
    <cellStyle name="表体数字3位(小) 17 3" xfId="22792"/>
    <cellStyle name="表体数字3位(小) 17 3 2" xfId="22794"/>
    <cellStyle name="表体数字3位(小) 17 3 3" xfId="22796"/>
    <cellStyle name="表体数字3位(小) 17 3 4" xfId="22798"/>
    <cellStyle name="表体数字3位(小) 17 3 5" xfId="22800"/>
    <cellStyle name="表体数字3位(小) 17 3 6" xfId="22802"/>
    <cellStyle name="表体数字3位(小) 17 3 7" xfId="22804"/>
    <cellStyle name="表体数字3位(小) 17 3 8" xfId="22806"/>
    <cellStyle name="表体数字3位(小) 17 4" xfId="22808"/>
    <cellStyle name="表体数字3位(小) 17 5" xfId="22810"/>
    <cellStyle name="表体数字3位(小) 17 6" xfId="22812"/>
    <cellStyle name="表体数字3位(小) 17 7" xfId="8341"/>
    <cellStyle name="表体数字3位(小) 17 8" xfId="8345"/>
    <cellStyle name="表体数字3位(小) 17 9" xfId="7000"/>
    <cellStyle name="表体数字3位(小) 18" xfId="22814"/>
    <cellStyle name="表体数字3位(小) 18 10" xfId="22816"/>
    <cellStyle name="表体数字3位(小) 18 2" xfId="22818"/>
    <cellStyle name="表体数字3位(小) 18 2 2" xfId="22820"/>
    <cellStyle name="表体数字3位(小) 18 2 3" xfId="22822"/>
    <cellStyle name="表体数字3位(小) 18 2 4" xfId="22824"/>
    <cellStyle name="表体数字3位(小) 18 2 5" xfId="22826"/>
    <cellStyle name="表体数字3位(小) 18 2 6" xfId="22828"/>
    <cellStyle name="表体数字3位(小) 18 2 7" xfId="22830"/>
    <cellStyle name="表体数字3位(小) 18 2 8" xfId="22832"/>
    <cellStyle name="表体数字3位(小) 18 3" xfId="22834"/>
    <cellStyle name="表体数字3位(小) 18 3 2" xfId="22836"/>
    <cellStyle name="表体数字3位(小) 18 3 3" xfId="22838"/>
    <cellStyle name="表体数字3位(小) 18 3 4" xfId="7417"/>
    <cellStyle name="表体数字3位(小) 18 3 5" xfId="22840"/>
    <cellStyle name="表体数字3位(小) 18 3 6" xfId="22842"/>
    <cellStyle name="表体数字3位(小) 18 3 7" xfId="22844"/>
    <cellStyle name="表体数字3位(小) 18 3 8" xfId="22846"/>
    <cellStyle name="表体数字3位(小) 18 4" xfId="22848"/>
    <cellStyle name="表体数字3位(小) 18 5" xfId="22850"/>
    <cellStyle name="表体数字3位(小) 18 6" xfId="22852"/>
    <cellStyle name="表体数字3位(小) 18 7" xfId="8350"/>
    <cellStyle name="表体数字3位(小) 18 8" xfId="8354"/>
    <cellStyle name="表体数字3位(小) 18 9" xfId="7011"/>
    <cellStyle name="表体数字3位(小) 19" xfId="22854"/>
    <cellStyle name="表体数字3位(小) 19 10" xfId="19943"/>
    <cellStyle name="表体数字3位(小) 19 2" xfId="22856"/>
    <cellStyle name="表体数字3位(小) 19 2 2" xfId="22858"/>
    <cellStyle name="表体数字3位(小) 19 2 3" xfId="22860"/>
    <cellStyle name="表体数字3位(小) 19 2 4" xfId="22862"/>
    <cellStyle name="表体数字3位(小) 19 2 5" xfId="22864"/>
    <cellStyle name="表体数字3位(小) 19 2 6" xfId="22866"/>
    <cellStyle name="表体数字3位(小) 19 2 7" xfId="22868"/>
    <cellStyle name="表体数字3位(小) 19 2 8" xfId="1042"/>
    <cellStyle name="表体数字3位(小) 19 3" xfId="22870"/>
    <cellStyle name="表体数字3位(小) 19 3 2" xfId="22873"/>
    <cellStyle name="表体数字3位(小) 19 3 3" xfId="22875"/>
    <cellStyle name="表体数字3位(小) 19 3 4" xfId="22877"/>
    <cellStyle name="表体数字3位(小) 19 3 5" xfId="22879"/>
    <cellStyle name="表体数字3位(小) 19 3 6" xfId="22881"/>
    <cellStyle name="表体数字3位(小) 19 3 7" xfId="22883"/>
    <cellStyle name="表体数字3位(小) 19 3 8" xfId="1361"/>
    <cellStyle name="表体数字3位(小) 19 4" xfId="22885"/>
    <cellStyle name="表体数字3位(小) 19 5" xfId="22887"/>
    <cellStyle name="表体数字3位(小) 19 6" xfId="22889"/>
    <cellStyle name="表体数字3位(小) 19 7" xfId="22891"/>
    <cellStyle name="表体数字3位(小) 19 8" xfId="5951"/>
    <cellStyle name="表体数字3位(小) 19 9" xfId="104"/>
    <cellStyle name="表体数字3位(小) 2" xfId="22893"/>
    <cellStyle name="表体数字3位(小) 2 10" xfId="22894"/>
    <cellStyle name="表体数字3位(小) 2 10 10" xfId="22895"/>
    <cellStyle name="表体数字3位(小) 2 10 2" xfId="18812"/>
    <cellStyle name="表体数字3位(小) 2 10 2 2" xfId="22896"/>
    <cellStyle name="表体数字3位(小) 2 10 2 3" xfId="22897"/>
    <cellStyle name="表体数字3位(小) 2 10 2 4" xfId="22898"/>
    <cellStyle name="表体数字3位(小) 2 10 2 5" xfId="22899"/>
    <cellStyle name="表体数字3位(小) 2 10 2 6" xfId="22900"/>
    <cellStyle name="表体数字3位(小) 2 10 2 7" xfId="8597"/>
    <cellStyle name="表体数字3位(小) 2 10 2 8" xfId="1453"/>
    <cellStyle name="表体数字3位(小) 2 10 3" xfId="18816"/>
    <cellStyle name="表体数字3位(小) 2 10 3 2" xfId="22901"/>
    <cellStyle name="表体数字3位(小) 2 10 3 3" xfId="22902"/>
    <cellStyle name="表体数字3位(小) 2 10 3 4" xfId="22903"/>
    <cellStyle name="表体数字3位(小) 2 10 3 5" xfId="22904"/>
    <cellStyle name="表体数字3位(小) 2 10 3 6" xfId="22905"/>
    <cellStyle name="表体数字3位(小) 2 10 3 7" xfId="22906"/>
    <cellStyle name="表体数字3位(小) 2 10 3 8" xfId="22907"/>
    <cellStyle name="表体数字3位(小) 2 10 4" xfId="18820"/>
    <cellStyle name="表体数字3位(小) 2 10 5" xfId="18824"/>
    <cellStyle name="表体数字3位(小) 2 10 6" xfId="18828"/>
    <cellStyle name="表体数字3位(小) 2 10 7" xfId="4378"/>
    <cellStyle name="表体数字3位(小) 2 10 8" xfId="4386"/>
    <cellStyle name="表体数字3位(小) 2 10 9" xfId="22908"/>
    <cellStyle name="表体数字3位(小) 2 11" xfId="16321"/>
    <cellStyle name="表体数字3位(小) 2 11 10" xfId="22909"/>
    <cellStyle name="表体数字3位(小) 2 11 2" xfId="22910"/>
    <cellStyle name="表体数字3位(小) 2 11 2 2" xfId="22911"/>
    <cellStyle name="表体数字3位(小) 2 11 2 3" xfId="22913"/>
    <cellStyle name="表体数字3位(小) 2 11 2 4" xfId="22915"/>
    <cellStyle name="表体数字3位(小) 2 11 2 5" xfId="20714"/>
    <cellStyle name="表体数字3位(小) 2 11 2 6" xfId="20731"/>
    <cellStyle name="表体数字3位(小) 2 11 2 7" xfId="20748"/>
    <cellStyle name="表体数字3位(小) 2 11 2 8" xfId="1549"/>
    <cellStyle name="表体数字3位(小) 2 11 3" xfId="22916"/>
    <cellStyle name="表体数字3位(小) 2 11 3 2" xfId="22917"/>
    <cellStyle name="表体数字3位(小) 2 11 3 3" xfId="22920"/>
    <cellStyle name="表体数字3位(小) 2 11 3 4" xfId="22923"/>
    <cellStyle name="表体数字3位(小) 2 11 3 5" xfId="20767"/>
    <cellStyle name="表体数字3位(小) 2 11 3 6" xfId="20785"/>
    <cellStyle name="表体数字3位(小) 2 11 3 7" xfId="20803"/>
    <cellStyle name="表体数字3位(小) 2 11 3 8" xfId="20806"/>
    <cellStyle name="表体数字3位(小) 2 11 4" xfId="22925"/>
    <cellStyle name="表体数字3位(小) 2 11 5" xfId="22926"/>
    <cellStyle name="表体数字3位(小) 2 11 6" xfId="22927"/>
    <cellStyle name="表体数字3位(小) 2 11 7" xfId="3158"/>
    <cellStyle name="表体数字3位(小) 2 11 8" xfId="5054"/>
    <cellStyle name="表体数字3位(小) 2 11 9" xfId="22928"/>
    <cellStyle name="表体数字3位(小) 2 12" xfId="16323"/>
    <cellStyle name="表体数字3位(小) 2 12 10" xfId="22929"/>
    <cellStyle name="表体数字3位(小) 2 12 2" xfId="22930"/>
    <cellStyle name="表体数字3位(小) 2 12 2 2" xfId="22933"/>
    <cellStyle name="表体数字3位(小) 2 12 2 3" xfId="22934"/>
    <cellStyle name="表体数字3位(小) 2 12 2 4" xfId="22935"/>
    <cellStyle name="表体数字3位(小) 2 12 2 5" xfId="22936"/>
    <cellStyle name="表体数字3位(小) 2 12 2 6" xfId="22937"/>
    <cellStyle name="表体数字3位(小) 2 12 2 7" xfId="22938"/>
    <cellStyle name="表体数字3位(小) 2 12 2 8" xfId="1619"/>
    <cellStyle name="表体数字3位(小) 2 12 3" xfId="22939"/>
    <cellStyle name="表体数字3位(小) 2 12 3 2" xfId="22940"/>
    <cellStyle name="表体数字3位(小) 2 12 3 3" xfId="22538"/>
    <cellStyle name="表体数字3位(小) 2 12 3 4" xfId="22553"/>
    <cellStyle name="表体数字3位(小) 2 12 3 5" xfId="22569"/>
    <cellStyle name="表体数字3位(小) 2 12 3 6" xfId="22571"/>
    <cellStyle name="表体数字3位(小) 2 12 3 7" xfId="22573"/>
    <cellStyle name="表体数字3位(小) 2 12 3 8" xfId="22575"/>
    <cellStyle name="表体数字3位(小) 2 12 4" xfId="22941"/>
    <cellStyle name="表体数字3位(小) 2 12 5" xfId="22942"/>
    <cellStyle name="表体数字3位(小) 2 12 6" xfId="22943"/>
    <cellStyle name="表体数字3位(小) 2 12 7" xfId="3230"/>
    <cellStyle name="表体数字3位(小) 2 12 8" xfId="6068"/>
    <cellStyle name="表体数字3位(小) 2 12 9" xfId="22944"/>
    <cellStyle name="表体数字3位(小) 2 13" xfId="16325"/>
    <cellStyle name="表体数字3位(小) 2 13 10" xfId="22946"/>
    <cellStyle name="表体数字3位(小) 2 13 2" xfId="22947"/>
    <cellStyle name="表体数字3位(小) 2 13 2 2" xfId="22950"/>
    <cellStyle name="表体数字3位(小) 2 13 2 3" xfId="22951"/>
    <cellStyle name="表体数字3位(小) 2 13 2 4" xfId="22954"/>
    <cellStyle name="表体数字3位(小) 2 13 2 5" xfId="22958"/>
    <cellStyle name="表体数字3位(小) 2 13 2 6" xfId="22961"/>
    <cellStyle name="表体数字3位(小) 2 13 2 7" xfId="22964"/>
    <cellStyle name="表体数字3位(小) 2 13 2 8" xfId="1686"/>
    <cellStyle name="表体数字3位(小) 2 13 3" xfId="22967"/>
    <cellStyle name="表体数字3位(小) 2 13 3 2" xfId="22968"/>
    <cellStyle name="表体数字3位(小) 2 13 3 3" xfId="22969"/>
    <cellStyle name="表体数字3位(小) 2 13 3 4" xfId="22972"/>
    <cellStyle name="表体数字3位(小) 2 13 3 5" xfId="22975"/>
    <cellStyle name="表体数字3位(小) 2 13 3 6" xfId="22978"/>
    <cellStyle name="表体数字3位(小) 2 13 3 7" xfId="22981"/>
    <cellStyle name="表体数字3位(小) 2 13 3 8" xfId="22984"/>
    <cellStyle name="表体数字3位(小) 2 13 4" xfId="22987"/>
    <cellStyle name="表体数字3位(小) 2 13 5" xfId="22988"/>
    <cellStyle name="表体数字3位(小) 2 13 6" xfId="22989"/>
    <cellStyle name="表体数字3位(小) 2 13 7" xfId="22990"/>
    <cellStyle name="表体数字3位(小) 2 13 8" xfId="22992"/>
    <cellStyle name="表体数字3位(小) 2 13 9" xfId="22994"/>
    <cellStyle name="表体数字3位(小) 2 14" xfId="12848"/>
    <cellStyle name="表体数字3位(小) 2 14 10" xfId="22996"/>
    <cellStyle name="表体数字3位(小) 2 14 2" xfId="22997"/>
    <cellStyle name="表体数字3位(小) 2 14 2 2" xfId="22998"/>
    <cellStyle name="表体数字3位(小) 2 14 2 3" xfId="22999"/>
    <cellStyle name="表体数字3位(小) 2 14 2 4" xfId="23000"/>
    <cellStyle name="表体数字3位(小) 2 14 2 5" xfId="23003"/>
    <cellStyle name="表体数字3位(小) 2 14 2 6" xfId="23004"/>
    <cellStyle name="表体数字3位(小) 2 14 2 7" xfId="23005"/>
    <cellStyle name="表体数字3位(小) 2 14 2 8" xfId="23006"/>
    <cellStyle name="表体数字3位(小) 2 14 3" xfId="23007"/>
    <cellStyle name="表体数字3位(小) 2 14 3 2" xfId="23008"/>
    <cellStyle name="表体数字3位(小) 2 14 3 3" xfId="23009"/>
    <cellStyle name="表体数字3位(小) 2 14 3 4" xfId="23010"/>
    <cellStyle name="表体数字3位(小) 2 14 3 5" xfId="23011"/>
    <cellStyle name="表体数字3位(小) 2 14 3 6" xfId="23012"/>
    <cellStyle name="表体数字3位(小) 2 14 3 7" xfId="23013"/>
    <cellStyle name="表体数字3位(小) 2 14 3 8" xfId="23014"/>
    <cellStyle name="表体数字3位(小) 2 14 4" xfId="23015"/>
    <cellStyle name="表体数字3位(小) 2 14 5" xfId="23016"/>
    <cellStyle name="表体数字3位(小) 2 14 6" xfId="23017"/>
    <cellStyle name="表体数字3位(小) 2 14 7" xfId="23018"/>
    <cellStyle name="表体数字3位(小) 2 14 8" xfId="23022"/>
    <cellStyle name="表体数字3位(小) 2 14 9" xfId="23024"/>
    <cellStyle name="表体数字3位(小) 2 15" xfId="12853"/>
    <cellStyle name="表体数字3位(小) 2 15 10" xfId="23026"/>
    <cellStyle name="表体数字3位(小) 2 15 2" xfId="17469"/>
    <cellStyle name="表体数字3位(小) 2 15 2 2" xfId="23028"/>
    <cellStyle name="表体数字3位(小) 2 15 2 3" xfId="23030"/>
    <cellStyle name="表体数字3位(小) 2 15 2 4" xfId="23032"/>
    <cellStyle name="表体数字3位(小) 2 15 2 5" xfId="23036"/>
    <cellStyle name="表体数字3位(小) 2 15 2 6" xfId="23038"/>
    <cellStyle name="表体数字3位(小) 2 15 2 7" xfId="8636"/>
    <cellStyle name="表体数字3位(小) 2 15 2 8" xfId="8639"/>
    <cellStyle name="表体数字3位(小) 2 15 3" xfId="17473"/>
    <cellStyle name="表体数字3位(小) 2 15 3 2" xfId="23040"/>
    <cellStyle name="表体数字3位(小) 2 15 3 3" xfId="23042"/>
    <cellStyle name="表体数字3位(小) 2 15 3 4" xfId="23044"/>
    <cellStyle name="表体数字3位(小) 2 15 3 5" xfId="23046"/>
    <cellStyle name="表体数字3位(小) 2 15 3 6" xfId="23048"/>
    <cellStyle name="表体数字3位(小) 2 15 3 7" xfId="23050"/>
    <cellStyle name="表体数字3位(小) 2 15 3 8" xfId="86"/>
    <cellStyle name="表体数字3位(小) 2 15 4" xfId="17477"/>
    <cellStyle name="表体数字3位(小) 2 15 5" xfId="17481"/>
    <cellStyle name="表体数字3位(小) 2 15 6" xfId="17485"/>
    <cellStyle name="表体数字3位(小) 2 15 7" xfId="17489"/>
    <cellStyle name="表体数字3位(小) 2 15 8" xfId="17494"/>
    <cellStyle name="表体数字3位(小) 2 15 9" xfId="23052"/>
    <cellStyle name="表体数字3位(小) 2 16" xfId="12859"/>
    <cellStyle name="表体数字3位(小) 2 16 10" xfId="23055"/>
    <cellStyle name="表体数字3位(小) 2 16 2" xfId="17499"/>
    <cellStyle name="表体数字3位(小) 2 16 2 2" xfId="12141"/>
    <cellStyle name="表体数字3位(小) 2 16 2 3" xfId="12151"/>
    <cellStyle name="表体数字3位(小) 2 16 2 4" xfId="12153"/>
    <cellStyle name="表体数字3位(小) 2 16 2 5" xfId="12161"/>
    <cellStyle name="表体数字3位(小) 2 16 2 6" xfId="12164"/>
    <cellStyle name="表体数字3位(小) 2 16 2 7" xfId="12167"/>
    <cellStyle name="表体数字3位(小) 2 16 2 8" xfId="23057"/>
    <cellStyle name="表体数字3位(小) 2 16 3" xfId="17503"/>
    <cellStyle name="表体数字3位(小) 2 16 3 2" xfId="23059"/>
    <cellStyle name="表体数字3位(小) 2 16 3 3" xfId="23061"/>
    <cellStyle name="表体数字3位(小) 2 16 3 4" xfId="23063"/>
    <cellStyle name="表体数字3位(小) 2 16 3 5" xfId="23065"/>
    <cellStyle name="表体数字3位(小) 2 16 3 6" xfId="23067"/>
    <cellStyle name="表体数字3位(小) 2 16 3 7" xfId="23069"/>
    <cellStyle name="表体数字3位(小) 2 16 3 8" xfId="23071"/>
    <cellStyle name="表体数字3位(小) 2 16 4" xfId="17507"/>
    <cellStyle name="表体数字3位(小) 2 16 5" xfId="17511"/>
    <cellStyle name="表体数字3位(小) 2 16 6" xfId="17515"/>
    <cellStyle name="表体数字3位(小) 2 16 7" xfId="17519"/>
    <cellStyle name="表体数字3位(小) 2 16 8" xfId="17524"/>
    <cellStyle name="表体数字3位(小) 2 16 9" xfId="23073"/>
    <cellStyle name="表体数字3位(小) 2 17" xfId="12865"/>
    <cellStyle name="表体数字3位(小) 2 17 10" xfId="23076"/>
    <cellStyle name="表体数字3位(小) 2 17 2" xfId="11526"/>
    <cellStyle name="表体数字3位(小) 2 17 2 2" xfId="23078"/>
    <cellStyle name="表体数字3位(小) 2 17 2 3" xfId="23080"/>
    <cellStyle name="表体数字3位(小) 2 17 2 4" xfId="23082"/>
    <cellStyle name="表体数字3位(小) 2 17 2 5" xfId="23086"/>
    <cellStyle name="表体数字3位(小) 2 17 2 6" xfId="23088"/>
    <cellStyle name="表体数字3位(小) 2 17 2 7" xfId="23090"/>
    <cellStyle name="表体数字3位(小) 2 17 2 8" xfId="23092"/>
    <cellStyle name="表体数字3位(小) 2 17 3" xfId="11529"/>
    <cellStyle name="表体数字3位(小) 2 17 3 2" xfId="23094"/>
    <cellStyle name="表体数字3位(小) 2 17 3 3" xfId="23096"/>
    <cellStyle name="表体数字3位(小) 2 17 3 4" xfId="23098"/>
    <cellStyle name="表体数字3位(小) 2 17 3 5" xfId="23100"/>
    <cellStyle name="表体数字3位(小) 2 17 3 6" xfId="23102"/>
    <cellStyle name="表体数字3位(小) 2 17 3 7" xfId="23104"/>
    <cellStyle name="表体数字3位(小) 2 17 3 8" xfId="23106"/>
    <cellStyle name="表体数字3位(小) 2 17 4" xfId="11532"/>
    <cellStyle name="表体数字3位(小) 2 17 5" xfId="11536"/>
    <cellStyle name="表体数字3位(小) 2 17 6" xfId="11546"/>
    <cellStyle name="表体数字3位(小) 2 17 7" xfId="11558"/>
    <cellStyle name="表体数字3位(小) 2 17 8" xfId="11564"/>
    <cellStyle name="表体数字3位(小) 2 17 9" xfId="11570"/>
    <cellStyle name="表体数字3位(小) 2 18" xfId="12870"/>
    <cellStyle name="表体数字3位(小) 2 18 10" xfId="23108"/>
    <cellStyle name="表体数字3位(小) 2 18 2" xfId="23110"/>
    <cellStyle name="表体数字3位(小) 2 18 2 2" xfId="23112"/>
    <cellStyle name="表体数字3位(小) 2 18 2 3" xfId="23114"/>
    <cellStyle name="表体数字3位(小) 2 18 2 4" xfId="23116"/>
    <cellStyle name="表体数字3位(小) 2 18 2 5" xfId="19511"/>
    <cellStyle name="表体数字3位(小) 2 18 2 6" xfId="19514"/>
    <cellStyle name="表体数字3位(小) 2 18 2 7" xfId="19517"/>
    <cellStyle name="表体数字3位(小) 2 18 2 8" xfId="19520"/>
    <cellStyle name="表体数字3位(小) 2 18 3" xfId="23120"/>
    <cellStyle name="表体数字3位(小) 2 18 3 2" xfId="23122"/>
    <cellStyle name="表体数字3位(小) 2 18 3 3" xfId="23124"/>
    <cellStyle name="表体数字3位(小) 2 18 3 4" xfId="23126"/>
    <cellStyle name="表体数字3位(小) 2 18 3 5" xfId="23128"/>
    <cellStyle name="表体数字3位(小) 2 18 3 6" xfId="23130"/>
    <cellStyle name="表体数字3位(小) 2 18 3 7" xfId="23132"/>
    <cellStyle name="表体数字3位(小) 2 18 3 8" xfId="23134"/>
    <cellStyle name="表体数字3位(小) 2 18 4" xfId="23136"/>
    <cellStyle name="表体数字3位(小) 2 18 5" xfId="23138"/>
    <cellStyle name="表体数字3位(小) 2 18 6" xfId="23140"/>
    <cellStyle name="表体数字3位(小) 2 18 7" xfId="23142"/>
    <cellStyle name="表体数字3位(小) 2 18 8" xfId="23146"/>
    <cellStyle name="表体数字3位(小) 2 18 9" xfId="23150"/>
    <cellStyle name="表体数字3位(小) 2 19" xfId="8224"/>
    <cellStyle name="表体数字3位(小) 2 19 10" xfId="23154"/>
    <cellStyle name="表体数字3位(小) 2 19 2" xfId="23156"/>
    <cellStyle name="表体数字3位(小) 2 19 2 2" xfId="23158"/>
    <cellStyle name="表体数字3位(小) 2 19 2 3" xfId="23160"/>
    <cellStyle name="表体数字3位(小) 2 19 2 4" xfId="23162"/>
    <cellStyle name="表体数字3位(小) 2 19 2 5" xfId="19551"/>
    <cellStyle name="表体数字3位(小) 2 19 2 6" xfId="19554"/>
    <cellStyle name="表体数字3位(小) 2 19 2 7" xfId="19557"/>
    <cellStyle name="表体数字3位(小) 2 19 2 8" xfId="19560"/>
    <cellStyle name="表体数字3位(小) 2 19 3" xfId="23164"/>
    <cellStyle name="表体数字3位(小) 2 19 3 2" xfId="23166"/>
    <cellStyle name="表体数字3位(小) 2 19 3 3" xfId="23168"/>
    <cellStyle name="表体数字3位(小) 2 19 3 4" xfId="23170"/>
    <cellStyle name="表体数字3位(小) 2 19 3 5" xfId="23172"/>
    <cellStyle name="表体数字3位(小) 2 19 3 6" xfId="23174"/>
    <cellStyle name="表体数字3位(小) 2 19 3 7" xfId="23176"/>
    <cellStyle name="表体数字3位(小) 2 19 3 8" xfId="23178"/>
    <cellStyle name="表体数字3位(小) 2 19 4" xfId="23180"/>
    <cellStyle name="表体数字3位(小) 2 19 5" xfId="23182"/>
    <cellStyle name="表体数字3位(小) 2 19 6" xfId="23187"/>
    <cellStyle name="表体数字3位(小) 2 19 7" xfId="23192"/>
    <cellStyle name="表体数字3位(小) 2 19 8" xfId="23201"/>
    <cellStyle name="表体数字3位(小) 2 19 9" xfId="23208"/>
    <cellStyle name="表体数字3位(小) 2 2" xfId="23215"/>
    <cellStyle name="表体数字3位(小) 2 2 10" xfId="23216"/>
    <cellStyle name="表体数字3位(小) 2 2 2" xfId="23217"/>
    <cellStyle name="表体数字3位(小) 2 2 2 2" xfId="23218"/>
    <cellStyle name="表体数字3位(小) 2 2 2 3" xfId="23219"/>
    <cellStyle name="表体数字3位(小) 2 2 2 4" xfId="23220"/>
    <cellStyle name="表体数字3位(小) 2 2 2 5" xfId="23223"/>
    <cellStyle name="表体数字3位(小) 2 2 2 6" xfId="23226"/>
    <cellStyle name="表体数字3位(小) 2 2 2 7" xfId="23229"/>
    <cellStyle name="表体数字3位(小) 2 2 2 8" xfId="23232"/>
    <cellStyle name="表体数字3位(小) 2 2 3" xfId="23235"/>
    <cellStyle name="表体数字3位(小) 2 2 3 2" xfId="23236"/>
    <cellStyle name="表体数字3位(小) 2 2 3 3" xfId="23237"/>
    <cellStyle name="表体数字3位(小) 2 2 3 4" xfId="23238"/>
    <cellStyle name="表体数字3位(小) 2 2 3 5" xfId="23241"/>
    <cellStyle name="表体数字3位(小) 2 2 3 6" xfId="23244"/>
    <cellStyle name="表体数字3位(小) 2 2 3 7" xfId="23247"/>
    <cellStyle name="表体数字3位(小) 2 2 3 8" xfId="23250"/>
    <cellStyle name="表体数字3位(小) 2 2 4" xfId="23253"/>
    <cellStyle name="表体数字3位(小) 2 2 5" xfId="23254"/>
    <cellStyle name="表体数字3位(小) 2 2 6" xfId="23255"/>
    <cellStyle name="表体数字3位(小) 2 2 7" xfId="23256"/>
    <cellStyle name="表体数字3位(小) 2 2 8" xfId="23257"/>
    <cellStyle name="表体数字3位(小) 2 2 9" xfId="23258"/>
    <cellStyle name="表体数字3位(小) 2 20" xfId="12854"/>
    <cellStyle name="表体数字3位(小) 2 20 10" xfId="23027"/>
    <cellStyle name="表体数字3位(小) 2 20 2" xfId="17470"/>
    <cellStyle name="表体数字3位(小) 2 20 2 2" xfId="23029"/>
    <cellStyle name="表体数字3位(小) 2 20 2 3" xfId="23031"/>
    <cellStyle name="表体数字3位(小) 2 20 2 4" xfId="23033"/>
    <cellStyle name="表体数字3位(小) 2 20 2 5" xfId="23037"/>
    <cellStyle name="表体数字3位(小) 2 20 2 6" xfId="23039"/>
    <cellStyle name="表体数字3位(小) 2 20 2 7" xfId="8637"/>
    <cellStyle name="表体数字3位(小) 2 20 2 8" xfId="8640"/>
    <cellStyle name="表体数字3位(小) 2 20 3" xfId="17474"/>
    <cellStyle name="表体数字3位(小) 2 20 3 2" xfId="23041"/>
    <cellStyle name="表体数字3位(小) 2 20 3 3" xfId="23043"/>
    <cellStyle name="表体数字3位(小) 2 20 3 4" xfId="23045"/>
    <cellStyle name="表体数字3位(小) 2 20 3 5" xfId="23047"/>
    <cellStyle name="表体数字3位(小) 2 20 3 6" xfId="23049"/>
    <cellStyle name="表体数字3位(小) 2 20 3 7" xfId="23051"/>
    <cellStyle name="表体数字3位(小) 2 20 3 8" xfId="87"/>
    <cellStyle name="表体数字3位(小) 2 20 4" xfId="17478"/>
    <cellStyle name="表体数字3位(小) 2 20 5" xfId="17482"/>
    <cellStyle name="表体数字3位(小) 2 20 6" xfId="17486"/>
    <cellStyle name="表体数字3位(小) 2 20 7" xfId="17490"/>
    <cellStyle name="表体数字3位(小) 2 20 8" xfId="17495"/>
    <cellStyle name="表体数字3位(小) 2 20 9" xfId="23053"/>
    <cellStyle name="表体数字3位(小) 2 21" xfId="12860"/>
    <cellStyle name="表体数字3位(小) 2 21 10" xfId="23056"/>
    <cellStyle name="表体数字3位(小) 2 21 2" xfId="17500"/>
    <cellStyle name="表体数字3位(小) 2 21 2 2" xfId="12142"/>
    <cellStyle name="表体数字3位(小) 2 21 2 3" xfId="12152"/>
    <cellStyle name="表体数字3位(小) 2 21 2 4" xfId="12154"/>
    <cellStyle name="表体数字3位(小) 2 21 2 5" xfId="12162"/>
    <cellStyle name="表体数字3位(小) 2 21 2 6" xfId="12165"/>
    <cellStyle name="表体数字3位(小) 2 21 2 7" xfId="12168"/>
    <cellStyle name="表体数字3位(小) 2 21 2 8" xfId="23058"/>
    <cellStyle name="表体数字3位(小) 2 21 3" xfId="17504"/>
    <cellStyle name="表体数字3位(小) 2 21 3 2" xfId="23060"/>
    <cellStyle name="表体数字3位(小) 2 21 3 3" xfId="23062"/>
    <cellStyle name="表体数字3位(小) 2 21 3 4" xfId="23064"/>
    <cellStyle name="表体数字3位(小) 2 21 3 5" xfId="23066"/>
    <cellStyle name="表体数字3位(小) 2 21 3 6" xfId="23068"/>
    <cellStyle name="表体数字3位(小) 2 21 3 7" xfId="23070"/>
    <cellStyle name="表体数字3位(小) 2 21 3 8" xfId="23072"/>
    <cellStyle name="表体数字3位(小) 2 21 4" xfId="17508"/>
    <cellStyle name="表体数字3位(小) 2 21 5" xfId="17512"/>
    <cellStyle name="表体数字3位(小) 2 21 6" xfId="17516"/>
    <cellStyle name="表体数字3位(小) 2 21 7" xfId="17520"/>
    <cellStyle name="表体数字3位(小) 2 21 8" xfId="17525"/>
    <cellStyle name="表体数字3位(小) 2 21 9" xfId="23074"/>
    <cellStyle name="表体数字3位(小) 2 22" xfId="12866"/>
    <cellStyle name="表体数字3位(小) 2 22 10" xfId="23077"/>
    <cellStyle name="表体数字3位(小) 2 22 2" xfId="11527"/>
    <cellStyle name="表体数字3位(小) 2 22 2 2" xfId="23079"/>
    <cellStyle name="表体数字3位(小) 2 22 2 3" xfId="23081"/>
    <cellStyle name="表体数字3位(小) 2 22 2 4" xfId="23083"/>
    <cellStyle name="表体数字3位(小) 2 22 2 5" xfId="23087"/>
    <cellStyle name="表体数字3位(小) 2 22 2 6" xfId="23089"/>
    <cellStyle name="表体数字3位(小) 2 22 2 7" xfId="23091"/>
    <cellStyle name="表体数字3位(小) 2 22 2 8" xfId="23093"/>
    <cellStyle name="表体数字3位(小) 2 22 3" xfId="11530"/>
    <cellStyle name="表体数字3位(小) 2 22 3 2" xfId="23095"/>
    <cellStyle name="表体数字3位(小) 2 22 3 3" xfId="23097"/>
    <cellStyle name="表体数字3位(小) 2 22 3 4" xfId="23099"/>
    <cellStyle name="表体数字3位(小) 2 22 3 5" xfId="23101"/>
    <cellStyle name="表体数字3位(小) 2 22 3 6" xfId="23103"/>
    <cellStyle name="表体数字3位(小) 2 22 3 7" xfId="23105"/>
    <cellStyle name="表体数字3位(小) 2 22 3 8" xfId="23107"/>
    <cellStyle name="表体数字3位(小) 2 22 4" xfId="11533"/>
    <cellStyle name="表体数字3位(小) 2 22 5" xfId="11537"/>
    <cellStyle name="表体数字3位(小) 2 22 6" xfId="11547"/>
    <cellStyle name="表体数字3位(小) 2 22 7" xfId="11559"/>
    <cellStyle name="表体数字3位(小) 2 22 8" xfId="11565"/>
    <cellStyle name="表体数字3位(小) 2 22 9" xfId="11571"/>
    <cellStyle name="表体数字3位(小) 2 23" xfId="12871"/>
    <cellStyle name="表体数字3位(小) 2 23 10" xfId="23109"/>
    <cellStyle name="表体数字3位(小) 2 23 2" xfId="23111"/>
    <cellStyle name="表体数字3位(小) 2 23 2 2" xfId="23113"/>
    <cellStyle name="表体数字3位(小) 2 23 2 3" xfId="23115"/>
    <cellStyle name="表体数字3位(小) 2 23 2 4" xfId="23117"/>
    <cellStyle name="表体数字3位(小) 2 23 2 5" xfId="19512"/>
    <cellStyle name="表体数字3位(小) 2 23 2 6" xfId="19515"/>
    <cellStyle name="表体数字3位(小) 2 23 2 7" xfId="19518"/>
    <cellStyle name="表体数字3位(小) 2 23 2 8" xfId="19521"/>
    <cellStyle name="表体数字3位(小) 2 23 3" xfId="23121"/>
    <cellStyle name="表体数字3位(小) 2 23 3 2" xfId="23123"/>
    <cellStyle name="表体数字3位(小) 2 23 3 3" xfId="23125"/>
    <cellStyle name="表体数字3位(小) 2 23 3 4" xfId="23127"/>
    <cellStyle name="表体数字3位(小) 2 23 3 5" xfId="23129"/>
    <cellStyle name="表体数字3位(小) 2 23 3 6" xfId="23131"/>
    <cellStyle name="表体数字3位(小) 2 23 3 7" xfId="23133"/>
    <cellStyle name="表体数字3位(小) 2 23 3 8" xfId="23135"/>
    <cellStyle name="表体数字3位(小) 2 23 4" xfId="23137"/>
    <cellStyle name="表体数字3位(小) 2 23 5" xfId="23139"/>
    <cellStyle name="表体数字3位(小) 2 23 6" xfId="23141"/>
    <cellStyle name="表体数字3位(小) 2 23 7" xfId="23143"/>
    <cellStyle name="表体数字3位(小) 2 23 8" xfId="23147"/>
    <cellStyle name="表体数字3位(小) 2 23 9" xfId="23151"/>
    <cellStyle name="表体数字3位(小) 2 24" xfId="8225"/>
    <cellStyle name="表体数字3位(小) 2 24 10" xfId="23155"/>
    <cellStyle name="表体数字3位(小) 2 24 2" xfId="23157"/>
    <cellStyle name="表体数字3位(小) 2 24 2 2" xfId="23159"/>
    <cellStyle name="表体数字3位(小) 2 24 2 3" xfId="23161"/>
    <cellStyle name="表体数字3位(小) 2 24 2 4" xfId="23163"/>
    <cellStyle name="表体数字3位(小) 2 24 2 5" xfId="19552"/>
    <cellStyle name="表体数字3位(小) 2 24 2 6" xfId="19555"/>
    <cellStyle name="表体数字3位(小) 2 24 2 7" xfId="19558"/>
    <cellStyle name="表体数字3位(小) 2 24 2 8" xfId="19561"/>
    <cellStyle name="表体数字3位(小) 2 24 3" xfId="23165"/>
    <cellStyle name="表体数字3位(小) 2 24 3 2" xfId="23167"/>
    <cellStyle name="表体数字3位(小) 2 24 3 3" xfId="23169"/>
    <cellStyle name="表体数字3位(小) 2 24 3 4" xfId="23171"/>
    <cellStyle name="表体数字3位(小) 2 24 3 5" xfId="23173"/>
    <cellStyle name="表体数字3位(小) 2 24 3 6" xfId="23175"/>
    <cellStyle name="表体数字3位(小) 2 24 3 7" xfId="23177"/>
    <cellStyle name="表体数字3位(小) 2 24 3 8" xfId="23179"/>
    <cellStyle name="表体数字3位(小) 2 24 4" xfId="23181"/>
    <cellStyle name="表体数字3位(小) 2 24 5" xfId="23183"/>
    <cellStyle name="表体数字3位(小) 2 24 6" xfId="23188"/>
    <cellStyle name="表体数字3位(小) 2 24 7" xfId="23193"/>
    <cellStyle name="表体数字3位(小) 2 24 8" xfId="23202"/>
    <cellStyle name="表体数字3位(小) 2 24 9" xfId="23209"/>
    <cellStyle name="表体数字3位(小) 2 25" xfId="8230"/>
    <cellStyle name="表体数字3位(小) 2 25 10" xfId="23259"/>
    <cellStyle name="表体数字3位(小) 2 25 2" xfId="23261"/>
    <cellStyle name="表体数字3位(小) 2 25 2 2" xfId="23263"/>
    <cellStyle name="表体数字3位(小) 2 25 2 3" xfId="2691"/>
    <cellStyle name="表体数字3位(小) 2 25 2 4" xfId="2701"/>
    <cellStyle name="表体数字3位(小) 2 25 2 5" xfId="4147"/>
    <cellStyle name="表体数字3位(小) 2 25 2 6" xfId="4153"/>
    <cellStyle name="表体数字3位(小) 2 25 2 7" xfId="4162"/>
    <cellStyle name="表体数字3位(小) 2 25 2 8" xfId="4171"/>
    <cellStyle name="表体数字3位(小) 2 25 3" xfId="23265"/>
    <cellStyle name="表体数字3位(小) 2 25 3 2" xfId="23267"/>
    <cellStyle name="表体数字3位(小) 2 25 3 3" xfId="23269"/>
    <cellStyle name="表体数字3位(小) 2 25 3 4" xfId="23271"/>
    <cellStyle name="表体数字3位(小) 2 25 3 5" xfId="23273"/>
    <cellStyle name="表体数字3位(小) 2 25 3 6" xfId="23275"/>
    <cellStyle name="表体数字3位(小) 2 25 3 7" xfId="23277"/>
    <cellStyle name="表体数字3位(小) 2 25 3 8" xfId="23279"/>
    <cellStyle name="表体数字3位(小) 2 25 4" xfId="23281"/>
    <cellStyle name="表体数字3位(小) 2 25 5" xfId="23283"/>
    <cellStyle name="表体数字3位(小) 2 25 6" xfId="23287"/>
    <cellStyle name="表体数字3位(小) 2 25 7" xfId="23291"/>
    <cellStyle name="表体数字3位(小) 2 25 8" xfId="23298"/>
    <cellStyle name="表体数字3位(小) 2 25 9" xfId="23305"/>
    <cellStyle name="表体数字3位(小) 2 26" xfId="12875"/>
    <cellStyle name="表体数字3位(小) 2 26 10" xfId="3212"/>
    <cellStyle name="表体数字3位(小) 2 26 2" xfId="23312"/>
    <cellStyle name="表体数字3位(小) 2 26 2 2" xfId="6985"/>
    <cellStyle name="表体数字3位(小) 2 26 2 3" xfId="23314"/>
    <cellStyle name="表体数字3位(小) 2 26 2 4" xfId="23316"/>
    <cellStyle name="表体数字3位(小) 2 26 2 5" xfId="19613"/>
    <cellStyle name="表体数字3位(小) 2 26 2 6" xfId="19617"/>
    <cellStyle name="表体数字3位(小) 2 26 2 7" xfId="19621"/>
    <cellStyle name="表体数字3位(小) 2 26 2 8" xfId="19625"/>
    <cellStyle name="表体数字3位(小) 2 26 3" xfId="23318"/>
    <cellStyle name="表体数字3位(小) 2 26 3 2" xfId="23320"/>
    <cellStyle name="表体数字3位(小) 2 26 3 3" xfId="23322"/>
    <cellStyle name="表体数字3位(小) 2 26 3 4" xfId="23324"/>
    <cellStyle name="表体数字3位(小) 2 26 3 5" xfId="23326"/>
    <cellStyle name="表体数字3位(小) 2 26 3 6" xfId="23328"/>
    <cellStyle name="表体数字3位(小) 2 26 3 7" xfId="23330"/>
    <cellStyle name="表体数字3位(小) 2 26 3 8" xfId="23332"/>
    <cellStyle name="表体数字3位(小) 2 26 4" xfId="23334"/>
    <cellStyle name="表体数字3位(小) 2 26 5" xfId="23336"/>
    <cellStyle name="表体数字3位(小) 2 26 6" xfId="23338"/>
    <cellStyle name="表体数字3位(小) 2 26 7" xfId="23340"/>
    <cellStyle name="表体数字3位(小) 2 26 8" xfId="23344"/>
    <cellStyle name="表体数字3位(小) 2 26 9" xfId="23348"/>
    <cellStyle name="表体数字3位(小) 2 27" xfId="17529"/>
    <cellStyle name="表体数字3位(小) 2 27 10" xfId="10707"/>
    <cellStyle name="表体数字3位(小) 2 27 2" xfId="23352"/>
    <cellStyle name="表体数字3位(小) 2 27 2 2" xfId="23354"/>
    <cellStyle name="表体数字3位(小) 2 27 2 3" xfId="23356"/>
    <cellStyle name="表体数字3位(小) 2 27 2 4" xfId="23358"/>
    <cellStyle name="表体数字3位(小) 2 27 2 5" xfId="19646"/>
    <cellStyle name="表体数字3位(小) 2 27 2 6" xfId="19650"/>
    <cellStyle name="表体数字3位(小) 2 27 2 7" xfId="19654"/>
    <cellStyle name="表体数字3位(小) 2 27 2 8" xfId="19658"/>
    <cellStyle name="表体数字3位(小) 2 27 3" xfId="23360"/>
    <cellStyle name="表体数字3位(小) 2 27 3 2" xfId="23362"/>
    <cellStyle name="表体数字3位(小) 2 27 3 3" xfId="23364"/>
    <cellStyle name="表体数字3位(小) 2 27 3 4" xfId="23366"/>
    <cellStyle name="表体数字3位(小) 2 27 3 5" xfId="23368"/>
    <cellStyle name="表体数字3位(小) 2 27 3 6" xfId="23370"/>
    <cellStyle name="表体数字3位(小) 2 27 3 7" xfId="23372"/>
    <cellStyle name="表体数字3位(小) 2 27 3 8" xfId="23374"/>
    <cellStyle name="表体数字3位(小) 2 27 4" xfId="23376"/>
    <cellStyle name="表体数字3位(小) 2 27 5" xfId="23378"/>
    <cellStyle name="表体数字3位(小) 2 27 6" xfId="23380"/>
    <cellStyle name="表体数字3位(小) 2 27 7" xfId="23382"/>
    <cellStyle name="表体数字3位(小) 2 27 8" xfId="23386"/>
    <cellStyle name="表体数字3位(小) 2 27 9" xfId="23390"/>
    <cellStyle name="表体数字3位(小) 2 28" xfId="23394"/>
    <cellStyle name="表体数字3位(小) 2 28 10" xfId="823"/>
    <cellStyle name="表体数字3位(小) 2 28 2" xfId="23396"/>
    <cellStyle name="表体数字3位(小) 2 28 2 2" xfId="23398"/>
    <cellStyle name="表体数字3位(小) 2 28 2 3" xfId="23400"/>
    <cellStyle name="表体数字3位(小) 2 28 2 4" xfId="23402"/>
    <cellStyle name="表体数字3位(小) 2 28 2 5" xfId="19690"/>
    <cellStyle name="表体数字3位(小) 2 28 2 6" xfId="19695"/>
    <cellStyle name="表体数字3位(小) 2 28 2 7" xfId="19700"/>
    <cellStyle name="表体数字3位(小) 2 28 2 8" xfId="19705"/>
    <cellStyle name="表体数字3位(小) 2 28 3" xfId="23404"/>
    <cellStyle name="表体数字3位(小) 2 28 3 2" xfId="23406"/>
    <cellStyle name="表体数字3位(小) 2 28 3 3" xfId="23408"/>
    <cellStyle name="表体数字3位(小) 2 28 3 4" xfId="23410"/>
    <cellStyle name="表体数字3位(小) 2 28 3 5" xfId="811"/>
    <cellStyle name="表体数字3位(小) 2 28 3 6" xfId="23412"/>
    <cellStyle name="表体数字3位(小) 2 28 3 7" xfId="23414"/>
    <cellStyle name="表体数字3位(小) 2 28 3 8" xfId="23416"/>
    <cellStyle name="表体数字3位(小) 2 28 4" xfId="23418"/>
    <cellStyle name="表体数字3位(小) 2 28 5" xfId="23420"/>
    <cellStyle name="表体数字3位(小) 2 28 6" xfId="23422"/>
    <cellStyle name="表体数字3位(小) 2 28 7" xfId="23424"/>
    <cellStyle name="表体数字3位(小) 2 28 8" xfId="23428"/>
    <cellStyle name="表体数字3位(小) 2 28 9" xfId="23432"/>
    <cellStyle name="表体数字3位(小) 2 29" xfId="23436"/>
    <cellStyle name="表体数字3位(小) 2 29 10" xfId="23438"/>
    <cellStyle name="表体数字3位(小) 2 29 2" xfId="2839"/>
    <cellStyle name="表体数字3位(小) 2 29 2 2" xfId="2842"/>
    <cellStyle name="表体数字3位(小) 2 29 2 3" xfId="2846"/>
    <cellStyle name="表体数字3位(小) 2 29 2 4" xfId="23440"/>
    <cellStyle name="表体数字3位(小) 2 29 2 5" xfId="19742"/>
    <cellStyle name="表体数字3位(小) 2 29 2 6" xfId="19747"/>
    <cellStyle name="表体数字3位(小) 2 29 2 7" xfId="19752"/>
    <cellStyle name="表体数字3位(小) 2 29 2 8" xfId="19757"/>
    <cellStyle name="表体数字3位(小) 2 29 3" xfId="23442"/>
    <cellStyle name="表体数字3位(小) 2 29 3 2" xfId="23444"/>
    <cellStyle name="表体数字3位(小) 2 29 3 3" xfId="23446"/>
    <cellStyle name="表体数字3位(小) 2 29 3 4" xfId="23448"/>
    <cellStyle name="表体数字3位(小) 2 29 3 5" xfId="23450"/>
    <cellStyle name="表体数字3位(小) 2 29 3 6" xfId="23452"/>
    <cellStyle name="表体数字3位(小) 2 29 3 7" xfId="23454"/>
    <cellStyle name="表体数字3位(小) 2 29 3 8" xfId="23456"/>
    <cellStyle name="表体数字3位(小) 2 29 4" xfId="23458"/>
    <cellStyle name="表体数字3位(小) 2 29 5" xfId="23460"/>
    <cellStyle name="表体数字3位(小) 2 29 6" xfId="23462"/>
    <cellStyle name="表体数字3位(小) 2 29 7" xfId="23464"/>
    <cellStyle name="表体数字3位(小) 2 29 8" xfId="23470"/>
    <cellStyle name="表体数字3位(小) 2 29 9" xfId="23474"/>
    <cellStyle name="表体数字3位(小) 2 3" xfId="23478"/>
    <cellStyle name="表体数字3位(小) 2 3 10" xfId="23479"/>
    <cellStyle name="表体数字3位(小) 2 3 2" xfId="23480"/>
    <cellStyle name="表体数字3位(小) 2 3 2 2" xfId="23481"/>
    <cellStyle name="表体数字3位(小) 2 3 2 3" xfId="23482"/>
    <cellStyle name="表体数字3位(小) 2 3 2 4" xfId="23483"/>
    <cellStyle name="表体数字3位(小) 2 3 2 5" xfId="23484"/>
    <cellStyle name="表体数字3位(小) 2 3 2 6" xfId="23485"/>
    <cellStyle name="表体数字3位(小) 2 3 2 7" xfId="23486"/>
    <cellStyle name="表体数字3位(小) 2 3 2 8" xfId="23487"/>
    <cellStyle name="表体数字3位(小) 2 3 3" xfId="23488"/>
    <cellStyle name="表体数字3位(小) 2 3 3 2" xfId="23489"/>
    <cellStyle name="表体数字3位(小) 2 3 3 3" xfId="23490"/>
    <cellStyle name="表体数字3位(小) 2 3 3 4" xfId="23491"/>
    <cellStyle name="表体数字3位(小) 2 3 3 5" xfId="23492"/>
    <cellStyle name="表体数字3位(小) 2 3 3 6" xfId="23493"/>
    <cellStyle name="表体数字3位(小) 2 3 3 7" xfId="23494"/>
    <cellStyle name="表体数字3位(小) 2 3 3 8" xfId="23495"/>
    <cellStyle name="表体数字3位(小) 2 3 4" xfId="23496"/>
    <cellStyle name="表体数字3位(小) 2 3 5" xfId="23497"/>
    <cellStyle name="表体数字3位(小) 2 3 6" xfId="23498"/>
    <cellStyle name="表体数字3位(小) 2 3 7" xfId="23499"/>
    <cellStyle name="表体数字3位(小) 2 3 8" xfId="23500"/>
    <cellStyle name="表体数字3位(小) 2 3 9" xfId="23501"/>
    <cellStyle name="表体数字3位(小) 2 30" xfId="8231"/>
    <cellStyle name="表体数字3位(小) 2 30 10" xfId="23260"/>
    <cellStyle name="表体数字3位(小) 2 30 2" xfId="23262"/>
    <cellStyle name="表体数字3位(小) 2 30 2 2" xfId="23264"/>
    <cellStyle name="表体数字3位(小) 2 30 2 3" xfId="2690"/>
    <cellStyle name="表体数字3位(小) 2 30 2 4" xfId="2700"/>
    <cellStyle name="表体数字3位(小) 2 30 2 5" xfId="4148"/>
    <cellStyle name="表体数字3位(小) 2 30 2 6" xfId="4154"/>
    <cellStyle name="表体数字3位(小) 2 30 2 7" xfId="4163"/>
    <cellStyle name="表体数字3位(小) 2 30 2 8" xfId="4172"/>
    <cellStyle name="表体数字3位(小) 2 30 3" xfId="23266"/>
    <cellStyle name="表体数字3位(小) 2 30 3 2" xfId="23268"/>
    <cellStyle name="表体数字3位(小) 2 30 3 3" xfId="23270"/>
    <cellStyle name="表体数字3位(小) 2 30 3 4" xfId="23272"/>
    <cellStyle name="表体数字3位(小) 2 30 3 5" xfId="23274"/>
    <cellStyle name="表体数字3位(小) 2 30 3 6" xfId="23276"/>
    <cellStyle name="表体数字3位(小) 2 30 3 7" xfId="23278"/>
    <cellStyle name="表体数字3位(小) 2 30 3 8" xfId="23280"/>
    <cellStyle name="表体数字3位(小) 2 30 4" xfId="23282"/>
    <cellStyle name="表体数字3位(小) 2 30 5" xfId="23284"/>
    <cellStyle name="表体数字3位(小) 2 30 6" xfId="23288"/>
    <cellStyle name="表体数字3位(小) 2 30 7" xfId="23292"/>
    <cellStyle name="表体数字3位(小) 2 30 8" xfId="23299"/>
    <cellStyle name="表体数字3位(小) 2 30 9" xfId="23306"/>
    <cellStyle name="表体数字3位(小) 2 31" xfId="12876"/>
    <cellStyle name="表体数字3位(小) 2 31 10" xfId="3211"/>
    <cellStyle name="表体数字3位(小) 2 31 2" xfId="23313"/>
    <cellStyle name="表体数字3位(小) 2 31 2 2" xfId="6986"/>
    <cellStyle name="表体数字3位(小) 2 31 2 3" xfId="23315"/>
    <cellStyle name="表体数字3位(小) 2 31 2 4" xfId="23317"/>
    <cellStyle name="表体数字3位(小) 2 31 2 5" xfId="19614"/>
    <cellStyle name="表体数字3位(小) 2 31 2 6" xfId="19618"/>
    <cellStyle name="表体数字3位(小) 2 31 2 7" xfId="19622"/>
    <cellStyle name="表体数字3位(小) 2 31 2 8" xfId="19626"/>
    <cellStyle name="表体数字3位(小) 2 31 3" xfId="23319"/>
    <cellStyle name="表体数字3位(小) 2 31 3 2" xfId="23321"/>
    <cellStyle name="表体数字3位(小) 2 31 3 3" xfId="23323"/>
    <cellStyle name="表体数字3位(小) 2 31 3 4" xfId="23325"/>
    <cellStyle name="表体数字3位(小) 2 31 3 5" xfId="23327"/>
    <cellStyle name="表体数字3位(小) 2 31 3 6" xfId="23329"/>
    <cellStyle name="表体数字3位(小) 2 31 3 7" xfId="23331"/>
    <cellStyle name="表体数字3位(小) 2 31 3 8" xfId="23333"/>
    <cellStyle name="表体数字3位(小) 2 31 4" xfId="23335"/>
    <cellStyle name="表体数字3位(小) 2 31 5" xfId="23337"/>
    <cellStyle name="表体数字3位(小) 2 31 6" xfId="23339"/>
    <cellStyle name="表体数字3位(小) 2 31 7" xfId="23341"/>
    <cellStyle name="表体数字3位(小) 2 31 8" xfId="23345"/>
    <cellStyle name="表体数字3位(小) 2 31 9" xfId="23349"/>
    <cellStyle name="表体数字3位(小) 2 32" xfId="17530"/>
    <cellStyle name="表体数字3位(小) 2 32 10" xfId="10708"/>
    <cellStyle name="表体数字3位(小) 2 32 2" xfId="23353"/>
    <cellStyle name="表体数字3位(小) 2 32 2 2" xfId="23355"/>
    <cellStyle name="表体数字3位(小) 2 32 2 3" xfId="23357"/>
    <cellStyle name="表体数字3位(小) 2 32 2 4" xfId="23359"/>
    <cellStyle name="表体数字3位(小) 2 32 2 5" xfId="19647"/>
    <cellStyle name="表体数字3位(小) 2 32 2 6" xfId="19651"/>
    <cellStyle name="表体数字3位(小) 2 32 2 7" xfId="19655"/>
    <cellStyle name="表体数字3位(小) 2 32 2 8" xfId="19659"/>
    <cellStyle name="表体数字3位(小) 2 32 3" xfId="23361"/>
    <cellStyle name="表体数字3位(小) 2 32 3 2" xfId="23363"/>
    <cellStyle name="表体数字3位(小) 2 32 3 3" xfId="23365"/>
    <cellStyle name="表体数字3位(小) 2 32 3 4" xfId="23367"/>
    <cellStyle name="表体数字3位(小) 2 32 3 5" xfId="23369"/>
    <cellStyle name="表体数字3位(小) 2 32 3 6" xfId="23371"/>
    <cellStyle name="表体数字3位(小) 2 32 3 7" xfId="23373"/>
    <cellStyle name="表体数字3位(小) 2 32 3 8" xfId="23375"/>
    <cellStyle name="表体数字3位(小) 2 32 4" xfId="23377"/>
    <cellStyle name="表体数字3位(小) 2 32 5" xfId="23379"/>
    <cellStyle name="表体数字3位(小) 2 32 6" xfId="23381"/>
    <cellStyle name="表体数字3位(小) 2 32 7" xfId="23383"/>
    <cellStyle name="表体数字3位(小) 2 32 8" xfId="23387"/>
    <cellStyle name="表体数字3位(小) 2 32 9" xfId="23391"/>
    <cellStyle name="表体数字3位(小) 2 33" xfId="23395"/>
    <cellStyle name="表体数字3位(小) 2 33 10" xfId="822"/>
    <cellStyle name="表体数字3位(小) 2 33 2" xfId="23397"/>
    <cellStyle name="表体数字3位(小) 2 33 2 2" xfId="23399"/>
    <cellStyle name="表体数字3位(小) 2 33 2 3" xfId="23401"/>
    <cellStyle name="表体数字3位(小) 2 33 2 4" xfId="23403"/>
    <cellStyle name="表体数字3位(小) 2 33 2 5" xfId="19691"/>
    <cellStyle name="表体数字3位(小) 2 33 2 6" xfId="19696"/>
    <cellStyle name="表体数字3位(小) 2 33 2 7" xfId="19701"/>
    <cellStyle name="表体数字3位(小) 2 33 2 8" xfId="19706"/>
    <cellStyle name="表体数字3位(小) 2 33 3" xfId="23405"/>
    <cellStyle name="表体数字3位(小) 2 33 3 2" xfId="23407"/>
    <cellStyle name="表体数字3位(小) 2 33 3 3" xfId="23409"/>
    <cellStyle name="表体数字3位(小) 2 33 3 4" xfId="23411"/>
    <cellStyle name="表体数字3位(小) 2 33 3 5" xfId="810"/>
    <cellStyle name="表体数字3位(小) 2 33 3 6" xfId="23413"/>
    <cellStyle name="表体数字3位(小) 2 33 3 7" xfId="23415"/>
    <cellStyle name="表体数字3位(小) 2 33 3 8" xfId="23417"/>
    <cellStyle name="表体数字3位(小) 2 33 4" xfId="23419"/>
    <cellStyle name="表体数字3位(小) 2 33 5" xfId="23421"/>
    <cellStyle name="表体数字3位(小) 2 33 6" xfId="23423"/>
    <cellStyle name="表体数字3位(小) 2 33 7" xfId="23425"/>
    <cellStyle name="表体数字3位(小) 2 33 8" xfId="23429"/>
    <cellStyle name="表体数字3位(小) 2 33 9" xfId="23433"/>
    <cellStyle name="表体数字3位(小) 2 34" xfId="23437"/>
    <cellStyle name="表体数字3位(小) 2 34 10" xfId="23439"/>
    <cellStyle name="表体数字3位(小) 2 34 2" xfId="2838"/>
    <cellStyle name="表体数字3位(小) 2 34 2 2" xfId="2841"/>
    <cellStyle name="表体数字3位(小) 2 34 2 3" xfId="2845"/>
    <cellStyle name="表体数字3位(小) 2 34 2 4" xfId="23441"/>
    <cellStyle name="表体数字3位(小) 2 34 2 5" xfId="19743"/>
    <cellStyle name="表体数字3位(小) 2 34 2 6" xfId="19748"/>
    <cellStyle name="表体数字3位(小) 2 34 2 7" xfId="19753"/>
    <cellStyle name="表体数字3位(小) 2 34 2 8" xfId="19758"/>
    <cellStyle name="表体数字3位(小) 2 34 3" xfId="23443"/>
    <cellStyle name="表体数字3位(小) 2 34 3 2" xfId="23445"/>
    <cellStyle name="表体数字3位(小) 2 34 3 3" xfId="23447"/>
    <cellStyle name="表体数字3位(小) 2 34 3 4" xfId="23449"/>
    <cellStyle name="表体数字3位(小) 2 34 3 5" xfId="23451"/>
    <cellStyle name="表体数字3位(小) 2 34 3 6" xfId="23453"/>
    <cellStyle name="表体数字3位(小) 2 34 3 7" xfId="23455"/>
    <cellStyle name="表体数字3位(小) 2 34 3 8" xfId="23457"/>
    <cellStyle name="表体数字3位(小) 2 34 4" xfId="23459"/>
    <cellStyle name="表体数字3位(小) 2 34 5" xfId="23461"/>
    <cellStyle name="表体数字3位(小) 2 34 6" xfId="23463"/>
    <cellStyle name="表体数字3位(小) 2 34 7" xfId="23465"/>
    <cellStyle name="表体数字3位(小) 2 34 8" xfId="23471"/>
    <cellStyle name="表体数字3位(小) 2 34 9" xfId="23475"/>
    <cellStyle name="表体数字3位(小) 2 35" xfId="23502"/>
    <cellStyle name="表体数字3位(小) 2 35 10" xfId="23504"/>
    <cellStyle name="表体数字3位(小) 2 35 2" xfId="23506"/>
    <cellStyle name="表体数字3位(小) 2 35 2 2" xfId="23508"/>
    <cellStyle name="表体数字3位(小) 2 35 2 3" xfId="23510"/>
    <cellStyle name="表体数字3位(小) 2 35 2 4" xfId="23512"/>
    <cellStyle name="表体数字3位(小) 2 35 2 5" xfId="19794"/>
    <cellStyle name="表体数字3位(小) 2 35 2 6" xfId="19801"/>
    <cellStyle name="表体数字3位(小) 2 35 2 7" xfId="19808"/>
    <cellStyle name="表体数字3位(小) 2 35 2 8" xfId="19815"/>
    <cellStyle name="表体数字3位(小) 2 35 3" xfId="23514"/>
    <cellStyle name="表体数字3位(小) 2 35 3 2" xfId="23516"/>
    <cellStyle name="表体数字3位(小) 2 35 3 3" xfId="23518"/>
    <cellStyle name="表体数字3位(小) 2 35 3 4" xfId="23520"/>
    <cellStyle name="表体数字3位(小) 2 35 3 5" xfId="23523"/>
    <cellStyle name="表体数字3位(小) 2 35 3 6" xfId="23526"/>
    <cellStyle name="表体数字3位(小) 2 35 3 7" xfId="23529"/>
    <cellStyle name="表体数字3位(小) 2 35 3 8" xfId="23532"/>
    <cellStyle name="表体数字3位(小) 2 35 4" xfId="23534"/>
    <cellStyle name="表体数字3位(小) 2 35 5" xfId="23536"/>
    <cellStyle name="表体数字3位(小) 2 35 6" xfId="23538"/>
    <cellStyle name="表体数字3位(小) 2 35 7" xfId="23540"/>
    <cellStyle name="表体数字3位(小) 2 35 8" xfId="23544"/>
    <cellStyle name="表体数字3位(小) 2 35 9" xfId="23548"/>
    <cellStyle name="表体数字3位(小) 2 36" xfId="23552"/>
    <cellStyle name="表体数字3位(小) 2 36 10" xfId="11123"/>
    <cellStyle name="表体数字3位(小) 2 36 2" xfId="23554"/>
    <cellStyle name="表体数字3位(小) 2 36 2 2" xfId="23556"/>
    <cellStyle name="表体数字3位(小) 2 36 2 3" xfId="23558"/>
    <cellStyle name="表体数字3位(小) 2 36 2 4" xfId="23560"/>
    <cellStyle name="表体数字3位(小) 2 36 2 5" xfId="19854"/>
    <cellStyle name="表体数字3位(小) 2 36 2 6" xfId="19861"/>
    <cellStyle name="表体数字3位(小) 2 36 2 7" xfId="19868"/>
    <cellStyle name="表体数字3位(小) 2 36 2 8" xfId="19875"/>
    <cellStyle name="表体数字3位(小) 2 36 3" xfId="23562"/>
    <cellStyle name="表体数字3位(小) 2 36 3 2" xfId="23564"/>
    <cellStyle name="表体数字3位(小) 2 36 3 3" xfId="23566"/>
    <cellStyle name="表体数字3位(小) 2 36 3 4" xfId="23568"/>
    <cellStyle name="表体数字3位(小) 2 36 3 5" xfId="23570"/>
    <cellStyle name="表体数字3位(小) 2 36 3 6" xfId="9774"/>
    <cellStyle name="表体数字3位(小) 2 36 3 7" xfId="9781"/>
    <cellStyle name="表体数字3位(小) 2 36 3 8" xfId="5200"/>
    <cellStyle name="表体数字3位(小) 2 36 4" xfId="23572"/>
    <cellStyle name="表体数字3位(小) 2 36 5" xfId="23574"/>
    <cellStyle name="表体数字3位(小) 2 36 6" xfId="23576"/>
    <cellStyle name="表体数字3位(小) 2 36 7" xfId="23578"/>
    <cellStyle name="表体数字3位(小) 2 36 8" xfId="23582"/>
    <cellStyle name="表体数字3位(小) 2 36 9" xfId="23586"/>
    <cellStyle name="表体数字3位(小) 2 37" xfId="11770"/>
    <cellStyle name="表体数字3位(小) 2 37 10" xfId="11248"/>
    <cellStyle name="表体数字3位(小) 2 37 2" xfId="23590"/>
    <cellStyle name="表体数字3位(小) 2 37 2 2" xfId="23592"/>
    <cellStyle name="表体数字3位(小) 2 37 2 3" xfId="23594"/>
    <cellStyle name="表体数字3位(小) 2 37 2 4" xfId="23596"/>
    <cellStyle name="表体数字3位(小) 2 37 2 5" xfId="14022"/>
    <cellStyle name="表体数字3位(小) 2 37 2 6" xfId="14053"/>
    <cellStyle name="表体数字3位(小) 2 37 2 7" xfId="14085"/>
    <cellStyle name="表体数字3位(小) 2 37 2 8" xfId="14094"/>
    <cellStyle name="表体数字3位(小) 2 37 3" xfId="23598"/>
    <cellStyle name="表体数字3位(小) 2 37 3 2" xfId="23600"/>
    <cellStyle name="表体数字3位(小) 2 37 3 3" xfId="23602"/>
    <cellStyle name="表体数字3位(小) 2 37 3 4" xfId="23604"/>
    <cellStyle name="表体数字3位(小) 2 37 3 5" xfId="14151"/>
    <cellStyle name="表体数字3位(小) 2 37 3 6" xfId="14179"/>
    <cellStyle name="表体数字3位(小) 2 37 3 7" xfId="14215"/>
    <cellStyle name="表体数字3位(小) 2 37 3 8" xfId="14221"/>
    <cellStyle name="表体数字3位(小) 2 37 4" xfId="23606"/>
    <cellStyle name="表体数字3位(小) 2 37 5" xfId="23608"/>
    <cellStyle name="表体数字3位(小) 2 37 6" xfId="23610"/>
    <cellStyle name="表体数字3位(小) 2 37 7" xfId="23612"/>
    <cellStyle name="表体数字3位(小) 2 37 8" xfId="23616"/>
    <cellStyle name="表体数字3位(小) 2 37 9" xfId="23620"/>
    <cellStyle name="表体数字3位(小) 2 38" xfId="11773"/>
    <cellStyle name="表体数字3位(小) 2 38 10" xfId="23624"/>
    <cellStyle name="表体数字3位(小) 2 38 2" xfId="23626"/>
    <cellStyle name="表体数字3位(小) 2 38 2 2" xfId="23628"/>
    <cellStyle name="表体数字3位(小) 2 38 2 3" xfId="23630"/>
    <cellStyle name="表体数字3位(小) 2 38 2 4" xfId="23632"/>
    <cellStyle name="表体数字3位(小) 2 38 2 5" xfId="21406"/>
    <cellStyle name="表体数字3位(小) 2 38 2 6" xfId="21413"/>
    <cellStyle name="表体数字3位(小) 2 38 2 7" xfId="21420"/>
    <cellStyle name="表体数字3位(小) 2 38 2 8" xfId="21427"/>
    <cellStyle name="表体数字3位(小) 2 38 3" xfId="23634"/>
    <cellStyle name="表体数字3位(小) 2 38 3 2" xfId="23636"/>
    <cellStyle name="表体数字3位(小) 2 38 3 3" xfId="23638"/>
    <cellStyle name="表体数字3位(小) 2 38 3 4" xfId="23640"/>
    <cellStyle name="表体数字3位(小) 2 38 3 5" xfId="23642"/>
    <cellStyle name="表体数字3位(小) 2 38 3 6" xfId="23644"/>
    <cellStyle name="表体数字3位(小) 2 38 3 7" xfId="23646"/>
    <cellStyle name="表体数字3位(小) 2 38 3 8" xfId="23649"/>
    <cellStyle name="表体数字3位(小) 2 38 4" xfId="23651"/>
    <cellStyle name="表体数字3位(小) 2 38 5" xfId="23653"/>
    <cellStyle name="表体数字3位(小) 2 38 6" xfId="23655"/>
    <cellStyle name="表体数字3位(小) 2 38 7" xfId="23657"/>
    <cellStyle name="表体数字3位(小) 2 38 8" xfId="23661"/>
    <cellStyle name="表体数字3位(小) 2 38 9" xfId="23665"/>
    <cellStyle name="表体数字3位(小) 2 39" xfId="23669"/>
    <cellStyle name="表体数字3位(小) 2 39 10" xfId="23671"/>
    <cellStyle name="表体数字3位(小) 2 39 2" xfId="2937"/>
    <cellStyle name="表体数字3位(小) 2 39 2 2" xfId="2941"/>
    <cellStyle name="表体数字3位(小) 2 39 2 3" xfId="2948"/>
    <cellStyle name="表体数字3位(小) 2 39 2 4" xfId="23673"/>
    <cellStyle name="表体数字3位(小) 2 39 2 5" xfId="21476"/>
    <cellStyle name="表体数字3位(小) 2 39 2 6" xfId="21483"/>
    <cellStyle name="表体数字3位(小) 2 39 2 7" xfId="21490"/>
    <cellStyle name="表体数字3位(小) 2 39 2 8" xfId="21497"/>
    <cellStyle name="表体数字3位(小) 2 39 3" xfId="13337"/>
    <cellStyle name="表体数字3位(小) 2 39 3 2" xfId="23675"/>
    <cellStyle name="表体数字3位(小) 2 39 3 3" xfId="23677"/>
    <cellStyle name="表体数字3位(小) 2 39 3 4" xfId="23679"/>
    <cellStyle name="表体数字3位(小) 2 39 3 5" xfId="23681"/>
    <cellStyle name="表体数字3位(小) 2 39 3 6" xfId="23683"/>
    <cellStyle name="表体数字3位(小) 2 39 3 7" xfId="23685"/>
    <cellStyle name="表体数字3位(小) 2 39 3 8" xfId="23687"/>
    <cellStyle name="表体数字3位(小) 2 39 4" xfId="13342"/>
    <cellStyle name="表体数字3位(小) 2 39 5" xfId="13345"/>
    <cellStyle name="表体数字3位(小) 2 39 6" xfId="13348"/>
    <cellStyle name="表体数字3位(小) 2 39 7" xfId="13351"/>
    <cellStyle name="表体数字3位(小) 2 39 8" xfId="23689"/>
    <cellStyle name="表体数字3位(小) 2 39 9" xfId="23693"/>
    <cellStyle name="表体数字3位(小) 2 4" xfId="23697"/>
    <cellStyle name="表体数字3位(小) 2 4 10" xfId="23698"/>
    <cellStyle name="表体数字3位(小) 2 4 2" xfId="23700"/>
    <cellStyle name="表体数字3位(小) 2 4 2 2" xfId="23701"/>
    <cellStyle name="表体数字3位(小) 2 4 2 3" xfId="23703"/>
    <cellStyle name="表体数字3位(小) 2 4 2 4" xfId="23704"/>
    <cellStyle name="表体数字3位(小) 2 4 2 5" xfId="23705"/>
    <cellStyle name="表体数字3位(小) 2 4 2 6" xfId="23707"/>
    <cellStyle name="表体数字3位(小) 2 4 2 7" xfId="23708"/>
    <cellStyle name="表体数字3位(小) 2 4 2 8" xfId="23709"/>
    <cellStyle name="表体数字3位(小) 2 4 3" xfId="23710"/>
    <cellStyle name="表体数字3位(小) 2 4 3 2" xfId="6152"/>
    <cellStyle name="表体数字3位(小) 2 4 3 3" xfId="23711"/>
    <cellStyle name="表体数字3位(小) 2 4 3 4" xfId="23712"/>
    <cellStyle name="表体数字3位(小) 2 4 3 5" xfId="23713"/>
    <cellStyle name="表体数字3位(小) 2 4 3 6" xfId="23714"/>
    <cellStyle name="表体数字3位(小) 2 4 3 7" xfId="23715"/>
    <cellStyle name="表体数字3位(小) 2 4 3 8" xfId="23716"/>
    <cellStyle name="表体数字3位(小) 2 4 4" xfId="23717"/>
    <cellStyle name="表体数字3位(小) 2 4 5" xfId="23718"/>
    <cellStyle name="表体数字3位(小) 2 4 6" xfId="23719"/>
    <cellStyle name="表体数字3位(小) 2 4 7" xfId="23720"/>
    <cellStyle name="表体数字3位(小) 2 4 8" xfId="23721"/>
    <cellStyle name="表体数字3位(小) 2 4 9" xfId="23722"/>
    <cellStyle name="表体数字3位(小) 2 40" xfId="23503"/>
    <cellStyle name="表体数字3位(小) 2 40 10" xfId="23505"/>
    <cellStyle name="表体数字3位(小) 2 40 2" xfId="23507"/>
    <cellStyle name="表体数字3位(小) 2 40 2 2" xfId="23509"/>
    <cellStyle name="表体数字3位(小) 2 40 2 3" xfId="23511"/>
    <cellStyle name="表体数字3位(小) 2 40 2 4" xfId="23513"/>
    <cellStyle name="表体数字3位(小) 2 40 2 5" xfId="19795"/>
    <cellStyle name="表体数字3位(小) 2 40 2 6" xfId="19802"/>
    <cellStyle name="表体数字3位(小) 2 40 2 7" xfId="19809"/>
    <cellStyle name="表体数字3位(小) 2 40 2 8" xfId="19816"/>
    <cellStyle name="表体数字3位(小) 2 40 3" xfId="23515"/>
    <cellStyle name="表体数字3位(小) 2 40 3 2" xfId="23517"/>
    <cellStyle name="表体数字3位(小) 2 40 3 3" xfId="23519"/>
    <cellStyle name="表体数字3位(小) 2 40 3 4" xfId="23521"/>
    <cellStyle name="表体数字3位(小) 2 40 3 5" xfId="23524"/>
    <cellStyle name="表体数字3位(小) 2 40 3 6" xfId="23527"/>
    <cellStyle name="表体数字3位(小) 2 40 3 7" xfId="23530"/>
    <cellStyle name="表体数字3位(小) 2 40 3 8" xfId="23533"/>
    <cellStyle name="表体数字3位(小) 2 40 4" xfId="23535"/>
    <cellStyle name="表体数字3位(小) 2 40 5" xfId="23537"/>
    <cellStyle name="表体数字3位(小) 2 40 6" xfId="23539"/>
    <cellStyle name="表体数字3位(小) 2 40 7" xfId="23541"/>
    <cellStyle name="表体数字3位(小) 2 40 8" xfId="23545"/>
    <cellStyle name="表体数字3位(小) 2 40 9" xfId="23549"/>
    <cellStyle name="表体数字3位(小) 2 41" xfId="23553"/>
    <cellStyle name="表体数字3位(小) 2 41 10" xfId="11124"/>
    <cellStyle name="表体数字3位(小) 2 41 2" xfId="23555"/>
    <cellStyle name="表体数字3位(小) 2 41 2 2" xfId="23557"/>
    <cellStyle name="表体数字3位(小) 2 41 2 3" xfId="23559"/>
    <cellStyle name="表体数字3位(小) 2 41 2 4" xfId="23561"/>
    <cellStyle name="表体数字3位(小) 2 41 2 5" xfId="19855"/>
    <cellStyle name="表体数字3位(小) 2 41 2 6" xfId="19862"/>
    <cellStyle name="表体数字3位(小) 2 41 2 7" xfId="19869"/>
    <cellStyle name="表体数字3位(小) 2 41 2 8" xfId="19876"/>
    <cellStyle name="表体数字3位(小) 2 41 3" xfId="23563"/>
    <cellStyle name="表体数字3位(小) 2 41 3 2" xfId="23565"/>
    <cellStyle name="表体数字3位(小) 2 41 3 3" xfId="23567"/>
    <cellStyle name="表体数字3位(小) 2 41 3 4" xfId="23569"/>
    <cellStyle name="表体数字3位(小) 2 41 3 5" xfId="23571"/>
    <cellStyle name="表体数字3位(小) 2 41 3 6" xfId="9775"/>
    <cellStyle name="表体数字3位(小) 2 41 3 7" xfId="9782"/>
    <cellStyle name="表体数字3位(小) 2 41 3 8" xfId="5201"/>
    <cellStyle name="表体数字3位(小) 2 41 4" xfId="23573"/>
    <cellStyle name="表体数字3位(小) 2 41 5" xfId="23575"/>
    <cellStyle name="表体数字3位(小) 2 41 6" xfId="23577"/>
    <cellStyle name="表体数字3位(小) 2 41 7" xfId="23579"/>
    <cellStyle name="表体数字3位(小) 2 41 8" xfId="23583"/>
    <cellStyle name="表体数字3位(小) 2 41 9" xfId="23587"/>
    <cellStyle name="表体数字3位(小) 2 42" xfId="11771"/>
    <cellStyle name="表体数字3位(小) 2 42 10" xfId="11249"/>
    <cellStyle name="表体数字3位(小) 2 42 2" xfId="23591"/>
    <cellStyle name="表体数字3位(小) 2 42 2 2" xfId="23593"/>
    <cellStyle name="表体数字3位(小) 2 42 2 3" xfId="23595"/>
    <cellStyle name="表体数字3位(小) 2 42 2 4" xfId="23597"/>
    <cellStyle name="表体数字3位(小) 2 42 2 5" xfId="14023"/>
    <cellStyle name="表体数字3位(小) 2 42 2 6" xfId="14054"/>
    <cellStyle name="表体数字3位(小) 2 42 2 7" xfId="14086"/>
    <cellStyle name="表体数字3位(小) 2 42 2 8" xfId="14095"/>
    <cellStyle name="表体数字3位(小) 2 42 3" xfId="23599"/>
    <cellStyle name="表体数字3位(小) 2 42 3 2" xfId="23601"/>
    <cellStyle name="表体数字3位(小) 2 42 3 3" xfId="23603"/>
    <cellStyle name="表体数字3位(小) 2 42 3 4" xfId="23605"/>
    <cellStyle name="表体数字3位(小) 2 42 3 5" xfId="14152"/>
    <cellStyle name="表体数字3位(小) 2 42 3 6" xfId="14180"/>
    <cellStyle name="表体数字3位(小) 2 42 3 7" xfId="14216"/>
    <cellStyle name="表体数字3位(小) 2 42 3 8" xfId="14222"/>
    <cellStyle name="表体数字3位(小) 2 42 4" xfId="23607"/>
    <cellStyle name="表体数字3位(小) 2 42 5" xfId="23609"/>
    <cellStyle name="表体数字3位(小) 2 42 6" xfId="23611"/>
    <cellStyle name="表体数字3位(小) 2 42 7" xfId="23613"/>
    <cellStyle name="表体数字3位(小) 2 42 8" xfId="23617"/>
    <cellStyle name="表体数字3位(小) 2 42 9" xfId="23621"/>
    <cellStyle name="表体数字3位(小) 2 43" xfId="11774"/>
    <cellStyle name="表体数字3位(小) 2 43 10" xfId="23625"/>
    <cellStyle name="表体数字3位(小) 2 43 2" xfId="23627"/>
    <cellStyle name="表体数字3位(小) 2 43 2 2" xfId="23629"/>
    <cellStyle name="表体数字3位(小) 2 43 2 3" xfId="23631"/>
    <cellStyle name="表体数字3位(小) 2 43 2 4" xfId="23633"/>
    <cellStyle name="表体数字3位(小) 2 43 2 5" xfId="21407"/>
    <cellStyle name="表体数字3位(小) 2 43 2 6" xfId="21414"/>
    <cellStyle name="表体数字3位(小) 2 43 2 7" xfId="21421"/>
    <cellStyle name="表体数字3位(小) 2 43 2 8" xfId="21428"/>
    <cellStyle name="表体数字3位(小) 2 43 3" xfId="23635"/>
    <cellStyle name="表体数字3位(小) 2 43 3 2" xfId="23637"/>
    <cellStyle name="表体数字3位(小) 2 43 3 3" xfId="23639"/>
    <cellStyle name="表体数字3位(小) 2 43 3 4" xfId="23641"/>
    <cellStyle name="表体数字3位(小) 2 43 3 5" xfId="23643"/>
    <cellStyle name="表体数字3位(小) 2 43 3 6" xfId="23645"/>
    <cellStyle name="表体数字3位(小) 2 43 3 7" xfId="23647"/>
    <cellStyle name="表体数字3位(小) 2 43 3 8" xfId="23650"/>
    <cellStyle name="表体数字3位(小) 2 43 4" xfId="23652"/>
    <cellStyle name="表体数字3位(小) 2 43 5" xfId="23654"/>
    <cellStyle name="表体数字3位(小) 2 43 6" xfId="23656"/>
    <cellStyle name="表体数字3位(小) 2 43 7" xfId="23658"/>
    <cellStyle name="表体数字3位(小) 2 43 8" xfId="23662"/>
    <cellStyle name="表体数字3位(小) 2 43 9" xfId="23666"/>
    <cellStyle name="表体数字3位(小) 2 44" xfId="23670"/>
    <cellStyle name="表体数字3位(小) 2 44 10" xfId="23672"/>
    <cellStyle name="表体数字3位(小) 2 44 2" xfId="2936"/>
    <cellStyle name="表体数字3位(小) 2 44 2 2" xfId="2940"/>
    <cellStyle name="表体数字3位(小) 2 44 2 3" xfId="2947"/>
    <cellStyle name="表体数字3位(小) 2 44 2 4" xfId="23674"/>
    <cellStyle name="表体数字3位(小) 2 44 2 5" xfId="21477"/>
    <cellStyle name="表体数字3位(小) 2 44 2 6" xfId="21484"/>
    <cellStyle name="表体数字3位(小) 2 44 2 7" xfId="21491"/>
    <cellStyle name="表体数字3位(小) 2 44 2 8" xfId="21498"/>
    <cellStyle name="表体数字3位(小) 2 44 3" xfId="13338"/>
    <cellStyle name="表体数字3位(小) 2 44 3 2" xfId="23676"/>
    <cellStyle name="表体数字3位(小) 2 44 3 3" xfId="23678"/>
    <cellStyle name="表体数字3位(小) 2 44 3 4" xfId="23680"/>
    <cellStyle name="表体数字3位(小) 2 44 3 5" xfId="23682"/>
    <cellStyle name="表体数字3位(小) 2 44 3 6" xfId="23684"/>
    <cellStyle name="表体数字3位(小) 2 44 3 7" xfId="23686"/>
    <cellStyle name="表体数字3位(小) 2 44 3 8" xfId="23688"/>
    <cellStyle name="表体数字3位(小) 2 44 4" xfId="13343"/>
    <cellStyle name="表体数字3位(小) 2 44 5" xfId="13346"/>
    <cellStyle name="表体数字3位(小) 2 44 6" xfId="13349"/>
    <cellStyle name="表体数字3位(小) 2 44 7" xfId="13352"/>
    <cellStyle name="表体数字3位(小) 2 44 8" xfId="23690"/>
    <cellStyle name="表体数字3位(小) 2 44 9" xfId="23694"/>
    <cellStyle name="表体数字3位(小) 2 45" xfId="23723"/>
    <cellStyle name="表体数字3位(小) 2 45 10" xfId="23725"/>
    <cellStyle name="表体数字3位(小) 2 45 2" xfId="10246"/>
    <cellStyle name="表体数字3位(小) 2 45 2 2" xfId="23727"/>
    <cellStyle name="表体数字3位(小) 2 45 2 3" xfId="23729"/>
    <cellStyle name="表体数字3位(小) 2 45 2 4" xfId="23731"/>
    <cellStyle name="表体数字3位(小) 2 45 2 5" xfId="21548"/>
    <cellStyle name="表体数字3位(小) 2 45 2 6" xfId="21556"/>
    <cellStyle name="表体数字3位(小) 2 45 2 7" xfId="21564"/>
    <cellStyle name="表体数字3位(小) 2 45 2 8" xfId="21572"/>
    <cellStyle name="表体数字3位(小) 2 45 3" xfId="10253"/>
    <cellStyle name="表体数字3位(小) 2 45 3 2" xfId="23733"/>
    <cellStyle name="表体数字3位(小) 2 45 3 3" xfId="23735"/>
    <cellStyle name="表体数字3位(小) 2 45 3 4" xfId="23737"/>
    <cellStyle name="表体数字3位(小) 2 45 3 5" xfId="23739"/>
    <cellStyle name="表体数字3位(小) 2 45 3 6" xfId="23742"/>
    <cellStyle name="表体数字3位(小) 2 45 3 7" xfId="23745"/>
    <cellStyle name="表体数字3位(小) 2 45 3 8" xfId="23748"/>
    <cellStyle name="表体数字3位(小) 2 45 4" xfId="10260"/>
    <cellStyle name="表体数字3位(小) 2 45 5" xfId="10265"/>
    <cellStyle name="表体数字3位(小) 2 45 6" xfId="10270"/>
    <cellStyle name="表体数字3位(小) 2 45 7" xfId="10275"/>
    <cellStyle name="表体数字3位(小) 2 45 8" xfId="23750"/>
    <cellStyle name="表体数字3位(小) 2 45 9" xfId="23754"/>
    <cellStyle name="表体数字3位(小) 2 46" xfId="23758"/>
    <cellStyle name="表体数字3位(小) 2 46 10" xfId="6808"/>
    <cellStyle name="表体数字3位(小) 2 46 2" xfId="10284"/>
    <cellStyle name="表体数字3位(小) 2 46 2 2" xfId="23760"/>
    <cellStyle name="表体数字3位(小) 2 46 2 3" xfId="23762"/>
    <cellStyle name="表体数字3位(小) 2 46 2 4" xfId="23764"/>
    <cellStyle name="表体数字3位(小) 2 46 2 5" xfId="21615"/>
    <cellStyle name="表体数字3位(小) 2 46 2 6" xfId="21622"/>
    <cellStyle name="表体数字3位(小) 2 46 2 7" xfId="21629"/>
    <cellStyle name="表体数字3位(小) 2 46 2 8" xfId="21636"/>
    <cellStyle name="表体数字3位(小) 2 46 3" xfId="10288"/>
    <cellStyle name="表体数字3位(小) 2 46 3 2" xfId="23766"/>
    <cellStyle name="表体数字3位(小) 2 46 3 3" xfId="23768"/>
    <cellStyle name="表体数字3位(小) 2 46 3 4" xfId="23770"/>
    <cellStyle name="表体数字3位(小) 2 46 3 5" xfId="23772"/>
    <cellStyle name="表体数字3位(小) 2 46 3 6" xfId="23774"/>
    <cellStyle name="表体数字3位(小) 2 46 3 7" xfId="23776"/>
    <cellStyle name="表体数字3位(小) 2 46 3 8" xfId="23778"/>
    <cellStyle name="表体数字3位(小) 2 46 4" xfId="10292"/>
    <cellStyle name="表体数字3位(小) 2 46 5" xfId="10296"/>
    <cellStyle name="表体数字3位(小) 2 46 6" xfId="10300"/>
    <cellStyle name="表体数字3位(小) 2 46 7" xfId="10304"/>
    <cellStyle name="表体数字3位(小) 2 46 8" xfId="23780"/>
    <cellStyle name="表体数字3位(小) 2 46 9" xfId="23784"/>
    <cellStyle name="表体数字3位(小) 2 47" xfId="23788"/>
    <cellStyle name="表体数字3位(小) 2 47 10" xfId="23790"/>
    <cellStyle name="表体数字3位(小) 2 47 2" xfId="23793"/>
    <cellStyle name="表体数字3位(小) 2 47 2 2" xfId="23796"/>
    <cellStyle name="表体数字3位(小) 2 47 2 3" xfId="560"/>
    <cellStyle name="表体数字3位(小) 2 47 2 4" xfId="342"/>
    <cellStyle name="表体数字3位(小) 2 47 2 5" xfId="358"/>
    <cellStyle name="表体数字3位(小) 2 47 2 6" xfId="607"/>
    <cellStyle name="表体数字3位(小) 2 47 2 7" xfId="628"/>
    <cellStyle name="表体数字3位(小) 2 47 2 8" xfId="646"/>
    <cellStyle name="表体数字3位(小) 2 47 3" xfId="23798"/>
    <cellStyle name="表体数字3位(小) 2 47 3 2" xfId="23800"/>
    <cellStyle name="表体数字3位(小) 2 47 3 3" xfId="685"/>
    <cellStyle name="表体数字3位(小) 2 47 3 4" xfId="75"/>
    <cellStyle name="表体数字3位(小) 2 47 3 5" xfId="23803"/>
    <cellStyle name="表体数字3位(小) 2 47 3 6" xfId="23806"/>
    <cellStyle name="表体数字3位(小) 2 47 3 7" xfId="23809"/>
    <cellStyle name="表体数字3位(小) 2 47 3 8" xfId="23813"/>
    <cellStyle name="表体数字3位(小) 2 47 4" xfId="23815"/>
    <cellStyle name="表体数字3位(小) 2 47 5" xfId="23817"/>
    <cellStyle name="表体数字3位(小) 2 47 6" xfId="23819"/>
    <cellStyle name="表体数字3位(小) 2 47 7" xfId="23821"/>
    <cellStyle name="表体数字3位(小) 2 47 8" xfId="23825"/>
    <cellStyle name="表体数字3位(小) 2 47 9" xfId="23829"/>
    <cellStyle name="表体数字3位(小) 2 48" xfId="23833"/>
    <cellStyle name="表体数字3位(小) 2 48 10" xfId="23835"/>
    <cellStyle name="表体数字3位(小) 2 48 2" xfId="3272"/>
    <cellStyle name="表体数字3位(小) 2 48 2 2" xfId="23838"/>
    <cellStyle name="表体数字3位(小) 2 48 2 3" xfId="23840"/>
    <cellStyle name="表体数字3位(小) 2 48 2 4" xfId="23842"/>
    <cellStyle name="表体数字3位(小) 2 48 2 5" xfId="21698"/>
    <cellStyle name="表体数字3位(小) 2 48 2 6" xfId="21704"/>
    <cellStyle name="表体数字3位(小) 2 48 2 7" xfId="21710"/>
    <cellStyle name="表体数字3位(小) 2 48 2 8" xfId="21716"/>
    <cellStyle name="表体数字3位(小) 2 48 3" xfId="3275"/>
    <cellStyle name="表体数字3位(小) 2 48 3 2" xfId="23844"/>
    <cellStyle name="表体数字3位(小) 2 48 3 3" xfId="23847"/>
    <cellStyle name="表体数字3位(小) 2 48 3 4" xfId="23849"/>
    <cellStyle name="表体数字3位(小) 2 48 3 5" xfId="23851"/>
    <cellStyle name="表体数字3位(小) 2 48 3 6" xfId="23853"/>
    <cellStyle name="表体数字3位(小) 2 48 3 7" xfId="23855"/>
    <cellStyle name="表体数字3位(小) 2 48 3 8" xfId="23857"/>
    <cellStyle name="表体数字3位(小) 2 48 4" xfId="3279"/>
    <cellStyle name="表体数字3位(小) 2 48 5" xfId="3286"/>
    <cellStyle name="表体数字3位(小) 2 48 6" xfId="3306"/>
    <cellStyle name="表体数字3位(小) 2 48 7" xfId="3319"/>
    <cellStyle name="表体数字3位(小) 2 48 8" xfId="3326"/>
    <cellStyle name="表体数字3位(小) 2 48 9" xfId="3333"/>
    <cellStyle name="表体数字3位(小) 2 49" xfId="23859"/>
    <cellStyle name="表体数字3位(小) 2 49 10" xfId="6078"/>
    <cellStyle name="表体数字3位(小) 2 49 2" xfId="18847"/>
    <cellStyle name="表体数字3位(小) 2 49 2 2" xfId="23861"/>
    <cellStyle name="表体数字3位(小) 2 49 2 3" xfId="23863"/>
    <cellStyle name="表体数字3位(小) 2 49 2 4" xfId="23865"/>
    <cellStyle name="表体数字3位(小) 2 49 2 5" xfId="21762"/>
    <cellStyle name="表体数字3位(小) 2 49 2 6" xfId="21768"/>
    <cellStyle name="表体数字3位(小) 2 49 2 7" xfId="21774"/>
    <cellStyle name="表体数字3位(小) 2 49 2 8" xfId="21780"/>
    <cellStyle name="表体数字3位(小) 2 49 3" xfId="16506"/>
    <cellStyle name="表体数字3位(小) 2 49 3 2" xfId="23867"/>
    <cellStyle name="表体数字3位(小) 2 49 3 3" xfId="141"/>
    <cellStyle name="表体数字3位(小) 2 49 3 4" xfId="5695"/>
    <cellStyle name="表体数字3位(小) 2 49 3 5" xfId="6708"/>
    <cellStyle name="表体数字3位(小) 2 49 3 6" xfId="6712"/>
    <cellStyle name="表体数字3位(小) 2 49 3 7" xfId="6716"/>
    <cellStyle name="表体数字3位(小) 2 49 3 8" xfId="6720"/>
    <cellStyle name="表体数字3位(小) 2 49 4" xfId="18852"/>
    <cellStyle name="表体数字3位(小) 2 49 5" xfId="18857"/>
    <cellStyle name="表体数字3位(小) 2 49 6" xfId="18862"/>
    <cellStyle name="表体数字3位(小) 2 49 7" xfId="23869"/>
    <cellStyle name="表体数字3位(小) 2 49 8" xfId="23875"/>
    <cellStyle name="表体数字3位(小) 2 49 9" xfId="23879"/>
    <cellStyle name="表体数字3位(小) 2 5" xfId="23883"/>
    <cellStyle name="表体数字3位(小) 2 5 10" xfId="11589"/>
    <cellStyle name="表体数字3位(小) 2 5 2" xfId="11616"/>
    <cellStyle name="表体数字3位(小) 2 5 2 2" xfId="23884"/>
    <cellStyle name="表体数字3位(小) 2 5 2 3" xfId="23887"/>
    <cellStyle name="表体数字3位(小) 2 5 2 4" xfId="23888"/>
    <cellStyle name="表体数字3位(小) 2 5 2 5" xfId="23889"/>
    <cellStyle name="表体数字3位(小) 2 5 2 6" xfId="23890"/>
    <cellStyle name="表体数字3位(小) 2 5 2 7" xfId="23891"/>
    <cellStyle name="表体数字3位(小) 2 5 2 8" xfId="23892"/>
    <cellStyle name="表体数字3位(小) 2 5 3" xfId="11618"/>
    <cellStyle name="表体数字3位(小) 2 5 3 2" xfId="11620"/>
    <cellStyle name="表体数字3位(小) 2 5 3 3" xfId="11622"/>
    <cellStyle name="表体数字3位(小) 2 5 3 4" xfId="23893"/>
    <cellStyle name="表体数字3位(小) 2 5 3 5" xfId="23894"/>
    <cellStyle name="表体数字3位(小) 2 5 3 6" xfId="23895"/>
    <cellStyle name="表体数字3位(小) 2 5 3 7" xfId="23896"/>
    <cellStyle name="表体数字3位(小) 2 5 3 8" xfId="23897"/>
    <cellStyle name="表体数字3位(小) 2 5 4" xfId="11624"/>
    <cellStyle name="表体数字3位(小) 2 5 5" xfId="11630"/>
    <cellStyle name="表体数字3位(小) 2 5 6" xfId="11636"/>
    <cellStyle name="表体数字3位(小) 2 5 7" xfId="11638"/>
    <cellStyle name="表体数字3位(小) 2 5 8" xfId="23898"/>
    <cellStyle name="表体数字3位(小) 2 5 9" xfId="23899"/>
    <cellStyle name="表体数字3位(小) 2 50" xfId="23724"/>
    <cellStyle name="表体数字3位(小) 2 50 10" xfId="23726"/>
    <cellStyle name="表体数字3位(小) 2 50 2" xfId="10247"/>
    <cellStyle name="表体数字3位(小) 2 50 2 2" xfId="23728"/>
    <cellStyle name="表体数字3位(小) 2 50 2 3" xfId="23730"/>
    <cellStyle name="表体数字3位(小) 2 50 2 4" xfId="23732"/>
    <cellStyle name="表体数字3位(小) 2 50 2 5" xfId="21549"/>
    <cellStyle name="表体数字3位(小) 2 50 2 6" xfId="21557"/>
    <cellStyle name="表体数字3位(小) 2 50 2 7" xfId="21565"/>
    <cellStyle name="表体数字3位(小) 2 50 2 8" xfId="21573"/>
    <cellStyle name="表体数字3位(小) 2 50 3" xfId="10254"/>
    <cellStyle name="表体数字3位(小) 2 50 3 2" xfId="23734"/>
    <cellStyle name="表体数字3位(小) 2 50 3 3" xfId="23736"/>
    <cellStyle name="表体数字3位(小) 2 50 3 4" xfId="23738"/>
    <cellStyle name="表体数字3位(小) 2 50 3 5" xfId="23740"/>
    <cellStyle name="表体数字3位(小) 2 50 3 6" xfId="23743"/>
    <cellStyle name="表体数字3位(小) 2 50 3 7" xfId="23746"/>
    <cellStyle name="表体数字3位(小) 2 50 3 8" xfId="23749"/>
    <cellStyle name="表体数字3位(小) 2 50 4" xfId="10261"/>
    <cellStyle name="表体数字3位(小) 2 50 5" xfId="10266"/>
    <cellStyle name="表体数字3位(小) 2 50 6" xfId="10271"/>
    <cellStyle name="表体数字3位(小) 2 50 7" xfId="10276"/>
    <cellStyle name="表体数字3位(小) 2 50 8" xfId="23751"/>
    <cellStyle name="表体数字3位(小) 2 50 9" xfId="23755"/>
    <cellStyle name="表体数字3位(小) 2 51" xfId="23759"/>
    <cellStyle name="表体数字3位(小) 2 51 10" xfId="6809"/>
    <cellStyle name="表体数字3位(小) 2 51 2" xfId="10285"/>
    <cellStyle name="表体数字3位(小) 2 51 2 2" xfId="23761"/>
    <cellStyle name="表体数字3位(小) 2 51 2 3" xfId="23763"/>
    <cellStyle name="表体数字3位(小) 2 51 2 4" xfId="23765"/>
    <cellStyle name="表体数字3位(小) 2 51 2 5" xfId="21616"/>
    <cellStyle name="表体数字3位(小) 2 51 2 6" xfId="21623"/>
    <cellStyle name="表体数字3位(小) 2 51 2 7" xfId="21630"/>
    <cellStyle name="表体数字3位(小) 2 51 2 8" xfId="21637"/>
    <cellStyle name="表体数字3位(小) 2 51 3" xfId="10289"/>
    <cellStyle name="表体数字3位(小) 2 51 3 2" xfId="23767"/>
    <cellStyle name="表体数字3位(小) 2 51 3 3" xfId="23769"/>
    <cellStyle name="表体数字3位(小) 2 51 3 4" xfId="23771"/>
    <cellStyle name="表体数字3位(小) 2 51 3 5" xfId="23773"/>
    <cellStyle name="表体数字3位(小) 2 51 3 6" xfId="23775"/>
    <cellStyle name="表体数字3位(小) 2 51 3 7" xfId="23777"/>
    <cellStyle name="表体数字3位(小) 2 51 3 8" xfId="23779"/>
    <cellStyle name="表体数字3位(小) 2 51 4" xfId="10293"/>
    <cellStyle name="表体数字3位(小) 2 51 5" xfId="10297"/>
    <cellStyle name="表体数字3位(小) 2 51 6" xfId="10301"/>
    <cellStyle name="表体数字3位(小) 2 51 7" xfId="10305"/>
    <cellStyle name="表体数字3位(小) 2 51 8" xfId="23781"/>
    <cellStyle name="表体数字3位(小) 2 51 9" xfId="23785"/>
    <cellStyle name="表体数字3位(小) 2 52" xfId="23789"/>
    <cellStyle name="表体数字3位(小) 2 52 10" xfId="23791"/>
    <cellStyle name="表体数字3位(小) 2 52 2" xfId="23794"/>
    <cellStyle name="表体数字3位(小) 2 52 2 2" xfId="23797"/>
    <cellStyle name="表体数字3位(小) 2 52 2 3" xfId="559"/>
    <cellStyle name="表体数字3位(小) 2 52 2 4" xfId="343"/>
    <cellStyle name="表体数字3位(小) 2 52 2 5" xfId="359"/>
    <cellStyle name="表体数字3位(小) 2 52 2 6" xfId="606"/>
    <cellStyle name="表体数字3位(小) 2 52 2 7" xfId="627"/>
    <cellStyle name="表体数字3位(小) 2 52 2 8" xfId="645"/>
    <cellStyle name="表体数字3位(小) 2 52 3" xfId="23799"/>
    <cellStyle name="表体数字3位(小) 2 52 3 2" xfId="23801"/>
    <cellStyle name="表体数字3位(小) 2 52 3 3" xfId="684"/>
    <cellStyle name="表体数字3位(小) 2 52 3 4" xfId="76"/>
    <cellStyle name="表体数字3位(小) 2 52 3 5" xfId="23804"/>
    <cellStyle name="表体数字3位(小) 2 52 3 6" xfId="23807"/>
    <cellStyle name="表体数字3位(小) 2 52 3 7" xfId="23810"/>
    <cellStyle name="表体数字3位(小) 2 52 3 8" xfId="23814"/>
    <cellStyle name="表体数字3位(小) 2 52 4" xfId="23816"/>
    <cellStyle name="表体数字3位(小) 2 52 5" xfId="23818"/>
    <cellStyle name="表体数字3位(小) 2 52 6" xfId="23820"/>
    <cellStyle name="表体数字3位(小) 2 52 7" xfId="23822"/>
    <cellStyle name="表体数字3位(小) 2 52 8" xfId="23826"/>
    <cellStyle name="表体数字3位(小) 2 52 9" xfId="23830"/>
    <cellStyle name="表体数字3位(小) 2 53" xfId="23834"/>
    <cellStyle name="表体数字3位(小) 2 53 10" xfId="23836"/>
    <cellStyle name="表体数字3位(小) 2 53 2" xfId="3271"/>
    <cellStyle name="表体数字3位(小) 2 53 2 2" xfId="23839"/>
    <cellStyle name="表体数字3位(小) 2 53 2 3" xfId="23841"/>
    <cellStyle name="表体数字3位(小) 2 53 2 4" xfId="23843"/>
    <cellStyle name="表体数字3位(小) 2 53 2 5" xfId="21699"/>
    <cellStyle name="表体数字3位(小) 2 53 2 6" xfId="21705"/>
    <cellStyle name="表体数字3位(小) 2 53 2 7" xfId="21711"/>
    <cellStyle name="表体数字3位(小) 2 53 2 8" xfId="21717"/>
    <cellStyle name="表体数字3位(小) 2 53 3" xfId="3274"/>
    <cellStyle name="表体数字3位(小) 2 53 3 2" xfId="23845"/>
    <cellStyle name="表体数字3位(小) 2 53 3 3" xfId="23848"/>
    <cellStyle name="表体数字3位(小) 2 53 3 4" xfId="23850"/>
    <cellStyle name="表体数字3位(小) 2 53 3 5" xfId="23852"/>
    <cellStyle name="表体数字3位(小) 2 53 3 6" xfId="23854"/>
    <cellStyle name="表体数字3位(小) 2 53 3 7" xfId="23856"/>
    <cellStyle name="表体数字3位(小) 2 53 3 8" xfId="23858"/>
    <cellStyle name="表体数字3位(小) 2 53 4" xfId="3278"/>
    <cellStyle name="表体数字3位(小) 2 53 5" xfId="3285"/>
    <cellStyle name="表体数字3位(小) 2 53 6" xfId="3305"/>
    <cellStyle name="表体数字3位(小) 2 53 7" xfId="3318"/>
    <cellStyle name="表体数字3位(小) 2 53 8" xfId="3325"/>
    <cellStyle name="表体数字3位(小) 2 53 9" xfId="3332"/>
    <cellStyle name="表体数字3位(小) 2 54" xfId="23860"/>
    <cellStyle name="表体数字3位(小) 2 54 10" xfId="6079"/>
    <cellStyle name="表体数字3位(小) 2 54 2" xfId="18848"/>
    <cellStyle name="表体数字3位(小) 2 54 2 2" xfId="23862"/>
    <cellStyle name="表体数字3位(小) 2 54 2 3" xfId="23864"/>
    <cellStyle name="表体数字3位(小) 2 54 2 4" xfId="23866"/>
    <cellStyle name="表体数字3位(小) 2 54 2 5" xfId="21763"/>
    <cellStyle name="表体数字3位(小) 2 54 2 6" xfId="21769"/>
    <cellStyle name="表体数字3位(小) 2 54 2 7" xfId="21775"/>
    <cellStyle name="表体数字3位(小) 2 54 2 8" xfId="21781"/>
    <cellStyle name="表体数字3位(小) 2 54 3" xfId="16507"/>
    <cellStyle name="表体数字3位(小) 2 54 3 2" xfId="23868"/>
    <cellStyle name="表体数字3位(小) 2 54 3 3" xfId="142"/>
    <cellStyle name="表体数字3位(小) 2 54 3 4" xfId="5696"/>
    <cellStyle name="表体数字3位(小) 2 54 3 5" xfId="6709"/>
    <cellStyle name="表体数字3位(小) 2 54 3 6" xfId="6713"/>
    <cellStyle name="表体数字3位(小) 2 54 3 7" xfId="6717"/>
    <cellStyle name="表体数字3位(小) 2 54 3 8" xfId="6721"/>
    <cellStyle name="表体数字3位(小) 2 54 4" xfId="18853"/>
    <cellStyle name="表体数字3位(小) 2 54 5" xfId="18858"/>
    <cellStyle name="表体数字3位(小) 2 54 6" xfId="18863"/>
    <cellStyle name="表体数字3位(小) 2 54 7" xfId="23870"/>
    <cellStyle name="表体数字3位(小) 2 54 8" xfId="23876"/>
    <cellStyle name="表体数字3位(小) 2 54 9" xfId="23880"/>
    <cellStyle name="表体数字3位(小) 2 55" xfId="23900"/>
    <cellStyle name="表体数字3位(小) 2 55 10" xfId="23902"/>
    <cellStyle name="表体数字3位(小) 2 55 2" xfId="18866"/>
    <cellStyle name="表体数字3位(小) 2 55 2 2" xfId="23904"/>
    <cellStyle name="表体数字3位(小) 2 55 2 3" xfId="23906"/>
    <cellStyle name="表体数字3位(小) 2 55 2 4" xfId="23908"/>
    <cellStyle name="表体数字3位(小) 2 55 2 5" xfId="21824"/>
    <cellStyle name="表体数字3位(小) 2 55 2 6" xfId="21830"/>
    <cellStyle name="表体数字3位(小) 2 55 2 7" xfId="21836"/>
    <cellStyle name="表体数字3位(小) 2 55 2 8" xfId="21842"/>
    <cellStyle name="表体数字3位(小) 2 55 3" xfId="18871"/>
    <cellStyle name="表体数字3位(小) 2 55 3 2" xfId="23910"/>
    <cellStyle name="表体数字3位(小) 2 55 3 3" xfId="23912"/>
    <cellStyle name="表体数字3位(小) 2 55 3 4" xfId="23914"/>
    <cellStyle name="表体数字3位(小) 2 55 3 5" xfId="23916"/>
    <cellStyle name="表体数字3位(小) 2 55 3 6" xfId="23918"/>
    <cellStyle name="表体数字3位(小) 2 55 3 7" xfId="23920"/>
    <cellStyle name="表体数字3位(小) 2 55 3 8" xfId="23922"/>
    <cellStyle name="表体数字3位(小) 2 55 4" xfId="18876"/>
    <cellStyle name="表体数字3位(小) 2 55 5" xfId="18881"/>
    <cellStyle name="表体数字3位(小) 2 55 6" xfId="18886"/>
    <cellStyle name="表体数字3位(小) 2 55 7" xfId="23924"/>
    <cellStyle name="表体数字3位(小) 2 55 8" xfId="23928"/>
    <cellStyle name="表体数字3位(小) 2 55 9" xfId="23932"/>
    <cellStyle name="表体数字3位(小) 2 56" xfId="23936"/>
    <cellStyle name="表体数字3位(小) 2 56 10" xfId="23938"/>
    <cellStyle name="表体数字3位(小) 2 56 2" xfId="23941"/>
    <cellStyle name="表体数字3位(小) 2 56 2 2" xfId="23943"/>
    <cellStyle name="表体数字3位(小) 2 56 2 3" xfId="23946"/>
    <cellStyle name="表体数字3位(小) 2 56 2 4" xfId="23949"/>
    <cellStyle name="表体数字3位(小) 2 56 2 5" xfId="21898"/>
    <cellStyle name="表体数字3位(小) 2 56 2 6" xfId="21905"/>
    <cellStyle name="表体数字3位(小) 2 56 2 7" xfId="21911"/>
    <cellStyle name="表体数字3位(小) 2 56 2 8" xfId="21919"/>
    <cellStyle name="表体数字3位(小) 2 56 3" xfId="23952"/>
    <cellStyle name="表体数字3位(小) 2 56 3 2" xfId="23954"/>
    <cellStyle name="表体数字3位(小) 2 56 3 3" xfId="23957"/>
    <cellStyle name="表体数字3位(小) 2 56 3 4" xfId="23960"/>
    <cellStyle name="表体数字3位(小) 2 56 3 5" xfId="23963"/>
    <cellStyle name="表体数字3位(小) 2 56 3 6" xfId="23966"/>
    <cellStyle name="表体数字3位(小) 2 56 3 7" xfId="23969"/>
    <cellStyle name="表体数字3位(小) 2 56 3 8" xfId="23973"/>
    <cellStyle name="表体数字3位(小) 2 56 4" xfId="23977"/>
    <cellStyle name="表体数字3位(小) 2 56 5" xfId="23979"/>
    <cellStyle name="表体数字3位(小) 2 56 6" xfId="23981"/>
    <cellStyle name="表体数字3位(小) 2 56 7" xfId="23983"/>
    <cellStyle name="表体数字3位(小) 2 56 8" xfId="23988"/>
    <cellStyle name="表体数字3位(小) 2 56 9" xfId="23993"/>
    <cellStyle name="表体数字3位(小) 2 57" xfId="23998"/>
    <cellStyle name="表体数字3位(小) 2 57 10" xfId="24000"/>
    <cellStyle name="表体数字3位(小) 2 57 2" xfId="24002"/>
    <cellStyle name="表体数字3位(小) 2 57 2 2" xfId="24006"/>
    <cellStyle name="表体数字3位(小) 2 57 2 3" xfId="24010"/>
    <cellStyle name="表体数字3位(小) 2 57 2 4" xfId="3869"/>
    <cellStyle name="表体数字3位(小) 2 57 2 5" xfId="3884"/>
    <cellStyle name="表体数字3位(小) 2 57 2 6" xfId="21981"/>
    <cellStyle name="表体数字3位(小) 2 57 2 7" xfId="21989"/>
    <cellStyle name="表体数字3位(小) 2 57 2 8" xfId="21997"/>
    <cellStyle name="表体数字3位(小) 2 57 3" xfId="24014"/>
    <cellStyle name="表体数字3位(小) 2 57 3 2" xfId="24016"/>
    <cellStyle name="表体数字3位(小) 2 57 3 3" xfId="24020"/>
    <cellStyle name="表体数字3位(小) 2 57 3 4" xfId="24024"/>
    <cellStyle name="表体数字3位(小) 2 57 3 5" xfId="24030"/>
    <cellStyle name="表体数字3位(小) 2 57 3 6" xfId="24036"/>
    <cellStyle name="表体数字3位(小) 2 57 3 7" xfId="24041"/>
    <cellStyle name="表体数字3位(小) 2 57 3 8" xfId="24045"/>
    <cellStyle name="表体数字3位(小) 2 57 4" xfId="24049"/>
    <cellStyle name="表体数字3位(小) 2 57 5" xfId="24051"/>
    <cellStyle name="表体数字3位(小) 2 57 6" xfId="24053"/>
    <cellStyle name="表体数字3位(小) 2 57 7" xfId="24055"/>
    <cellStyle name="表体数字3位(小) 2 57 8" xfId="24059"/>
    <cellStyle name="表体数字3位(小) 2 57 9" xfId="24063"/>
    <cellStyle name="表体数字3位(小) 2 58" xfId="24067"/>
    <cellStyle name="表体数字3位(小) 2 58 10" xfId="24069"/>
    <cellStyle name="表体数字3位(小) 2 58 2" xfId="24071"/>
    <cellStyle name="表体数字3位(小) 2 58 2 2" xfId="24075"/>
    <cellStyle name="表体数字3位(小) 2 58 2 3" xfId="12004"/>
    <cellStyle name="表体数字3位(小) 2 58 2 4" xfId="12007"/>
    <cellStyle name="表体数字3位(小) 2 58 2 5" xfId="22038"/>
    <cellStyle name="表体数字3位(小) 2 58 2 6" xfId="22044"/>
    <cellStyle name="表体数字3位(小) 2 58 2 7" xfId="22050"/>
    <cellStyle name="表体数字3位(小) 2 58 2 8" xfId="22056"/>
    <cellStyle name="表体数字3位(小) 2 58 3" xfId="24077"/>
    <cellStyle name="表体数字3位(小) 2 58 3 2" xfId="24079"/>
    <cellStyle name="表体数字3位(小) 2 58 3 3" xfId="24081"/>
    <cellStyle name="表体数字3位(小) 2 58 3 4" xfId="24083"/>
    <cellStyle name="表体数字3位(小) 2 58 3 5" xfId="24085"/>
    <cellStyle name="表体数字3位(小) 2 58 3 6" xfId="24087"/>
    <cellStyle name="表体数字3位(小) 2 58 3 7" xfId="24089"/>
    <cellStyle name="表体数字3位(小) 2 58 3 8" xfId="24091"/>
    <cellStyle name="表体数字3位(小) 2 58 4" xfId="24093"/>
    <cellStyle name="表体数字3位(小) 2 58 5" xfId="24095"/>
    <cellStyle name="表体数字3位(小) 2 58 6" xfId="24097"/>
    <cellStyle name="表体数字3位(小) 2 58 7" xfId="24099"/>
    <cellStyle name="表体数字3位(小) 2 58 8" xfId="24103"/>
    <cellStyle name="表体数字3位(小) 2 58 9" xfId="24107"/>
    <cellStyle name="表体数字3位(小) 2 59" xfId="24111"/>
    <cellStyle name="表体数字3位(小) 2 59 10" xfId="24113"/>
    <cellStyle name="表体数字3位(小) 2 59 2" xfId="24115"/>
    <cellStyle name="表体数字3位(小) 2 59 2 2" xfId="24117"/>
    <cellStyle name="表体数字3位(小) 2 59 2 3" xfId="24119"/>
    <cellStyle name="表体数字3位(小) 2 59 2 4" xfId="24121"/>
    <cellStyle name="表体数字3位(小) 2 59 2 5" xfId="22084"/>
    <cellStyle name="表体数字3位(小) 2 59 2 6" xfId="22090"/>
    <cellStyle name="表体数字3位(小) 2 59 2 7" xfId="22096"/>
    <cellStyle name="表体数字3位(小) 2 59 2 8" xfId="22102"/>
    <cellStyle name="表体数字3位(小) 2 59 3" xfId="16536"/>
    <cellStyle name="表体数字3位(小) 2 59 3 2" xfId="6198"/>
    <cellStyle name="表体数字3位(小) 2 59 3 3" xfId="3408"/>
    <cellStyle name="表体数字3位(小) 2 59 3 4" xfId="3426"/>
    <cellStyle name="表体数字3位(小) 2 59 3 5" xfId="3430"/>
    <cellStyle name="表体数字3位(小) 2 59 3 6" xfId="3434"/>
    <cellStyle name="表体数字3位(小) 2 59 3 7" xfId="3438"/>
    <cellStyle name="表体数字3位(小) 2 59 3 8" xfId="3442"/>
    <cellStyle name="表体数字3位(小) 2 59 4" xfId="24123"/>
    <cellStyle name="表体数字3位(小) 2 59 5" xfId="24125"/>
    <cellStyle name="表体数字3位(小) 2 59 6" xfId="24127"/>
    <cellStyle name="表体数字3位(小) 2 59 7" xfId="24129"/>
    <cellStyle name="表体数字3位(小) 2 59 8" xfId="24135"/>
    <cellStyle name="表体数字3位(小) 2 59 9" xfId="24139"/>
    <cellStyle name="表体数字3位(小) 2 6" xfId="24143"/>
    <cellStyle name="表体数字3位(小) 2 6 10" xfId="24144"/>
    <cellStyle name="表体数字3位(小) 2 6 2" xfId="24147"/>
    <cellStyle name="表体数字3位(小) 2 6 2 2" xfId="24148"/>
    <cellStyle name="表体数字3位(小) 2 6 2 3" xfId="24151"/>
    <cellStyle name="表体数字3位(小) 2 6 2 4" xfId="24152"/>
    <cellStyle name="表体数字3位(小) 2 6 2 5" xfId="24153"/>
    <cellStyle name="表体数字3位(小) 2 6 2 6" xfId="24154"/>
    <cellStyle name="表体数字3位(小) 2 6 2 7" xfId="24155"/>
    <cellStyle name="表体数字3位(小) 2 6 2 8" xfId="24156"/>
    <cellStyle name="表体数字3位(小) 2 6 3" xfId="24157"/>
    <cellStyle name="表体数字3位(小) 2 6 3 2" xfId="24158"/>
    <cellStyle name="表体数字3位(小) 2 6 3 3" xfId="24159"/>
    <cellStyle name="表体数字3位(小) 2 6 3 4" xfId="3261"/>
    <cellStyle name="表体数字3位(小) 2 6 3 5" xfId="1450"/>
    <cellStyle name="表体数字3位(小) 2 6 3 6" xfId="24160"/>
    <cellStyle name="表体数字3位(小) 2 6 3 7" xfId="24161"/>
    <cellStyle name="表体数字3位(小) 2 6 3 8" xfId="24162"/>
    <cellStyle name="表体数字3位(小) 2 6 4" xfId="24163"/>
    <cellStyle name="表体数字3位(小) 2 6 5" xfId="24164"/>
    <cellStyle name="表体数字3位(小) 2 6 6" xfId="24165"/>
    <cellStyle name="表体数字3位(小) 2 6 7" xfId="24166"/>
    <cellStyle name="表体数字3位(小) 2 6 8" xfId="24167"/>
    <cellStyle name="表体数字3位(小) 2 6 9" xfId="24168"/>
    <cellStyle name="表体数字3位(小) 2 60" xfId="23901"/>
    <cellStyle name="表体数字3位(小) 2 60 10" xfId="23903"/>
    <cellStyle name="表体数字3位(小) 2 60 2" xfId="18867"/>
    <cellStyle name="表体数字3位(小) 2 60 2 2" xfId="23905"/>
    <cellStyle name="表体数字3位(小) 2 60 2 3" xfId="23907"/>
    <cellStyle name="表体数字3位(小) 2 60 2 4" xfId="23909"/>
    <cellStyle name="表体数字3位(小) 2 60 2 5" xfId="21825"/>
    <cellStyle name="表体数字3位(小) 2 60 2 6" xfId="21831"/>
    <cellStyle name="表体数字3位(小) 2 60 2 7" xfId="21837"/>
    <cellStyle name="表体数字3位(小) 2 60 2 8" xfId="21843"/>
    <cellStyle name="表体数字3位(小) 2 60 3" xfId="18872"/>
    <cellStyle name="表体数字3位(小) 2 60 3 2" xfId="23911"/>
    <cellStyle name="表体数字3位(小) 2 60 3 3" xfId="23913"/>
    <cellStyle name="表体数字3位(小) 2 60 3 4" xfId="23915"/>
    <cellStyle name="表体数字3位(小) 2 60 3 5" xfId="23917"/>
    <cellStyle name="表体数字3位(小) 2 60 3 6" xfId="23919"/>
    <cellStyle name="表体数字3位(小) 2 60 3 7" xfId="23921"/>
    <cellStyle name="表体数字3位(小) 2 60 3 8" xfId="23923"/>
    <cellStyle name="表体数字3位(小) 2 60 4" xfId="18877"/>
    <cellStyle name="表体数字3位(小) 2 60 5" xfId="18882"/>
    <cellStyle name="表体数字3位(小) 2 60 6" xfId="18887"/>
    <cellStyle name="表体数字3位(小) 2 60 7" xfId="23925"/>
    <cellStyle name="表体数字3位(小) 2 60 8" xfId="23929"/>
    <cellStyle name="表体数字3位(小) 2 60 9" xfId="23933"/>
    <cellStyle name="表体数字3位(小) 2 61" xfId="23937"/>
    <cellStyle name="表体数字3位(小) 2 61 10" xfId="23939"/>
    <cellStyle name="表体数字3位(小) 2 61 2" xfId="23942"/>
    <cellStyle name="表体数字3位(小) 2 61 2 2" xfId="23944"/>
    <cellStyle name="表体数字3位(小) 2 61 2 3" xfId="23947"/>
    <cellStyle name="表体数字3位(小) 2 61 2 4" xfId="23950"/>
    <cellStyle name="表体数字3位(小) 2 61 2 5" xfId="21899"/>
    <cellStyle name="表体数字3位(小) 2 61 2 6" xfId="21906"/>
    <cellStyle name="表体数字3位(小) 2 61 2 7" xfId="21912"/>
    <cellStyle name="表体数字3位(小) 2 61 2 8" xfId="21920"/>
    <cellStyle name="表体数字3位(小) 2 61 3" xfId="23953"/>
    <cellStyle name="表体数字3位(小) 2 61 3 2" xfId="23955"/>
    <cellStyle name="表体数字3位(小) 2 61 3 3" xfId="23958"/>
    <cellStyle name="表体数字3位(小) 2 61 3 4" xfId="23961"/>
    <cellStyle name="表体数字3位(小) 2 61 3 5" xfId="23964"/>
    <cellStyle name="表体数字3位(小) 2 61 3 6" xfId="23967"/>
    <cellStyle name="表体数字3位(小) 2 61 3 7" xfId="23970"/>
    <cellStyle name="表体数字3位(小) 2 61 3 8" xfId="23974"/>
    <cellStyle name="表体数字3位(小) 2 61 4" xfId="23978"/>
    <cellStyle name="表体数字3位(小) 2 61 5" xfId="23980"/>
    <cellStyle name="表体数字3位(小) 2 61 6" xfId="23982"/>
    <cellStyle name="表体数字3位(小) 2 61 7" xfId="23984"/>
    <cellStyle name="表体数字3位(小) 2 61 8" xfId="23989"/>
    <cellStyle name="表体数字3位(小) 2 61 9" xfId="23994"/>
    <cellStyle name="表体数字3位(小) 2 62" xfId="23999"/>
    <cellStyle name="表体数字3位(小) 2 62 10" xfId="24001"/>
    <cellStyle name="表体数字3位(小) 2 62 2" xfId="24003"/>
    <cellStyle name="表体数字3位(小) 2 62 2 2" xfId="24007"/>
    <cellStyle name="表体数字3位(小) 2 62 2 3" xfId="24011"/>
    <cellStyle name="表体数字3位(小) 2 62 2 4" xfId="3868"/>
    <cellStyle name="表体数字3位(小) 2 62 2 5" xfId="3883"/>
    <cellStyle name="表体数字3位(小) 2 62 2 6" xfId="21982"/>
    <cellStyle name="表体数字3位(小) 2 62 2 7" xfId="21990"/>
    <cellStyle name="表体数字3位(小) 2 62 2 8" xfId="21998"/>
    <cellStyle name="表体数字3位(小) 2 62 3" xfId="24015"/>
    <cellStyle name="表体数字3位(小) 2 62 3 2" xfId="24017"/>
    <cellStyle name="表体数字3位(小) 2 62 3 3" xfId="24021"/>
    <cellStyle name="表体数字3位(小) 2 62 3 4" xfId="24025"/>
    <cellStyle name="表体数字3位(小) 2 62 3 5" xfId="24031"/>
    <cellStyle name="表体数字3位(小) 2 62 3 6" xfId="24037"/>
    <cellStyle name="表体数字3位(小) 2 62 3 7" xfId="24042"/>
    <cellStyle name="表体数字3位(小) 2 62 3 8" xfId="24046"/>
    <cellStyle name="表体数字3位(小) 2 62 4" xfId="24050"/>
    <cellStyle name="表体数字3位(小) 2 62 5" xfId="24052"/>
    <cellStyle name="表体数字3位(小) 2 62 6" xfId="24054"/>
    <cellStyle name="表体数字3位(小) 2 62 7" xfId="24056"/>
    <cellStyle name="表体数字3位(小) 2 62 8" xfId="24060"/>
    <cellStyle name="表体数字3位(小) 2 62 9" xfId="24064"/>
    <cellStyle name="表体数字3位(小) 2 63" xfId="24068"/>
    <cellStyle name="表体数字3位(小) 2 63 10" xfId="24070"/>
    <cellStyle name="表体数字3位(小) 2 63 2" xfId="24072"/>
    <cellStyle name="表体数字3位(小) 2 63 2 2" xfId="24076"/>
    <cellStyle name="表体数字3位(小) 2 63 2 3" xfId="12005"/>
    <cellStyle name="表体数字3位(小) 2 63 2 4" xfId="12008"/>
    <cellStyle name="表体数字3位(小) 2 63 2 5" xfId="22039"/>
    <cellStyle name="表体数字3位(小) 2 63 2 6" xfId="22045"/>
    <cellStyle name="表体数字3位(小) 2 63 2 7" xfId="22051"/>
    <cellStyle name="表体数字3位(小) 2 63 2 8" xfId="22057"/>
    <cellStyle name="表体数字3位(小) 2 63 3" xfId="24078"/>
    <cellStyle name="表体数字3位(小) 2 63 3 2" xfId="24080"/>
    <cellStyle name="表体数字3位(小) 2 63 3 2 2" xfId="1612"/>
    <cellStyle name="表体数字3位(小) 2 63 3 3" xfId="24082"/>
    <cellStyle name="表体数字3位(小) 2 63 3 4" xfId="24084"/>
    <cellStyle name="表体数字3位(小) 2 63 3 5" xfId="24086"/>
    <cellStyle name="表体数字3位(小) 2 63 3 6" xfId="24088"/>
    <cellStyle name="表体数字3位(小) 2 63 3 7" xfId="24090"/>
    <cellStyle name="表体数字3位(小) 2 63 3 8" xfId="24092"/>
    <cellStyle name="表体数字3位(小) 2 63 4" xfId="24094"/>
    <cellStyle name="表体数字3位(小) 2 63 5" xfId="24096"/>
    <cellStyle name="表体数字3位(小) 2 63 6" xfId="24098"/>
    <cellStyle name="表体数字3位(小) 2 63 7" xfId="24100"/>
    <cellStyle name="表体数字3位(小) 2 63 8" xfId="24104"/>
    <cellStyle name="表体数字3位(小) 2 63 9" xfId="24108"/>
    <cellStyle name="表体数字3位(小) 2 64" xfId="24112"/>
    <cellStyle name="表体数字3位(小) 2 64 10" xfId="24114"/>
    <cellStyle name="表体数字3位(小) 2 64 2" xfId="24116"/>
    <cellStyle name="表体数字3位(小) 2 64 2 2" xfId="24118"/>
    <cellStyle name="表体数字3位(小) 2 64 2 3" xfId="24120"/>
    <cellStyle name="表体数字3位(小) 2 64 2 4" xfId="24122"/>
    <cellStyle name="表体数字3位(小) 2 64 2 5" xfId="22085"/>
    <cellStyle name="表体数字3位(小) 2 64 2 6" xfId="22091"/>
    <cellStyle name="表体数字3位(小) 2 64 2 7" xfId="22097"/>
    <cellStyle name="表体数字3位(小) 2 64 2 8" xfId="22103"/>
    <cellStyle name="表体数字3位(小) 2 64 3" xfId="16537"/>
    <cellStyle name="表体数字3位(小) 2 64 3 2" xfId="6199"/>
    <cellStyle name="表体数字3位(小) 2 64 3 3" xfId="3407"/>
    <cellStyle name="表体数字3位(小) 2 64 3 4" xfId="3425"/>
    <cellStyle name="表体数字3位(小) 2 64 3 5" xfId="3429"/>
    <cellStyle name="表体数字3位(小) 2 64 3 6" xfId="3433"/>
    <cellStyle name="表体数字3位(小) 2 64 3 7" xfId="3437"/>
    <cellStyle name="表体数字3位(小) 2 64 3 8" xfId="3441"/>
    <cellStyle name="表体数字3位(小) 2 64 4" xfId="24124"/>
    <cellStyle name="表体数字3位(小) 2 64 5" xfId="24126"/>
    <cellStyle name="表体数字3位(小) 2 64 6" xfId="24128"/>
    <cellStyle name="表体数字3位(小) 2 64 7" xfId="24130"/>
    <cellStyle name="表体数字3位(小) 2 64 8" xfId="24136"/>
    <cellStyle name="表体数字3位(小) 2 64 9" xfId="24140"/>
    <cellStyle name="表体数字3位(小) 2 65" xfId="17535"/>
    <cellStyle name="表体数字3位(小) 2 65 10" xfId="24169"/>
    <cellStyle name="表体数字3位(小) 2 65 2" xfId="17539"/>
    <cellStyle name="表体数字3位(小) 2 65 2 2" xfId="24170"/>
    <cellStyle name="表体数字3位(小) 2 65 2 3" xfId="24171"/>
    <cellStyle name="表体数字3位(小) 2 65 2 4" xfId="24172"/>
    <cellStyle name="表体数字3位(小) 2 65 2 5" xfId="22144"/>
    <cellStyle name="表体数字3位(小) 2 65 2 6" xfId="22149"/>
    <cellStyle name="表体数字3位(小) 2 65 2 7" xfId="22154"/>
    <cellStyle name="表体数字3位(小) 2 65 2 8" xfId="22159"/>
    <cellStyle name="表体数字3位(小) 2 65 3" xfId="17542"/>
    <cellStyle name="表体数字3位(小) 2 65 3 2" xfId="24173"/>
    <cellStyle name="表体数字3位(小) 2 65 3 3" xfId="24174"/>
    <cellStyle name="表体数字3位(小) 2 65 3 4" xfId="24175"/>
    <cellStyle name="表体数字3位(小) 2 65 3 5" xfId="24176"/>
    <cellStyle name="表体数字3位(小) 2 65 3 6" xfId="24177"/>
    <cellStyle name="表体数字3位(小) 2 65 3 7" xfId="24178"/>
    <cellStyle name="表体数字3位(小) 2 65 3 8" xfId="24179"/>
    <cellStyle name="表体数字3位(小) 2 65 4" xfId="17545"/>
    <cellStyle name="表体数字3位(小) 2 65 5" xfId="17548"/>
    <cellStyle name="表体数字3位(小) 2 65 6" xfId="17551"/>
    <cellStyle name="表体数字3位(小) 2 65 7" xfId="17554"/>
    <cellStyle name="表体数字3位(小) 2 65 8" xfId="17559"/>
    <cellStyle name="表体数字3位(小) 2 65 9" xfId="24180"/>
    <cellStyle name="表体数字3位(小) 2 66" xfId="17564"/>
    <cellStyle name="表体数字3位(小) 2 66 2" xfId="17568"/>
    <cellStyle name="表体数字3位(小) 2 66 3" xfId="17571"/>
    <cellStyle name="表体数字3位(小) 2 66 4" xfId="17574"/>
    <cellStyle name="表体数字3位(小) 2 66 5" xfId="17577"/>
    <cellStyle name="表体数字3位(小) 2 66 6" xfId="17580"/>
    <cellStyle name="表体数字3位(小) 2 66 7" xfId="9269"/>
    <cellStyle name="表体数字3位(小) 2 66 8" xfId="17583"/>
    <cellStyle name="表体数字3位(小) 2 67" xfId="17588"/>
    <cellStyle name="表体数字3位(小) 2 67 2" xfId="24183"/>
    <cellStyle name="表体数字3位(小) 2 67 3" xfId="24184"/>
    <cellStyle name="表体数字3位(小) 2 67 4" xfId="24185"/>
    <cellStyle name="表体数字3位(小) 2 67 5" xfId="24186"/>
    <cellStyle name="表体数字3位(小) 2 67 6" xfId="24187"/>
    <cellStyle name="表体数字3位(小) 2 67 7" xfId="24188"/>
    <cellStyle name="表体数字3位(小) 2 67 8" xfId="24190"/>
    <cellStyle name="表体数字3位(小) 2 68" xfId="17592"/>
    <cellStyle name="表体数字3位(小) 2 69" xfId="8236"/>
    <cellStyle name="表体数字3位(小) 2 7" xfId="24192"/>
    <cellStyle name="表体数字3位(小) 2 7 10" xfId="24193"/>
    <cellStyle name="表体数字3位(小) 2 7 2" xfId="24196"/>
    <cellStyle name="表体数字3位(小) 2 7 2 2" xfId="24197"/>
    <cellStyle name="表体数字3位(小) 2 7 2 3" xfId="24200"/>
    <cellStyle name="表体数字3位(小) 2 7 2 4" xfId="24201"/>
    <cellStyle name="表体数字3位(小) 2 7 2 5" xfId="1133"/>
    <cellStyle name="表体数字3位(小) 2 7 2 6" xfId="1144"/>
    <cellStyle name="表体数字3位(小) 2 7 2 7" xfId="1937"/>
    <cellStyle name="表体数字3位(小) 2 7 2 8" xfId="24202"/>
    <cellStyle name="表体数字3位(小) 2 7 3" xfId="24203"/>
    <cellStyle name="表体数字3位(小) 2 7 3 2" xfId="24204"/>
    <cellStyle name="表体数字3位(小) 2 7 3 3" xfId="24205"/>
    <cellStyle name="表体数字3位(小) 2 7 3 4" xfId="24206"/>
    <cellStyle name="表体数字3位(小) 2 7 3 5" xfId="1156"/>
    <cellStyle name="表体数字3位(小) 2 7 3 6" xfId="1171"/>
    <cellStyle name="表体数字3位(小) 2 7 3 7" xfId="1979"/>
    <cellStyle name="表体数字3位(小) 2 7 3 8" xfId="24207"/>
    <cellStyle name="表体数字3位(小) 2 7 4" xfId="24208"/>
    <cellStyle name="表体数字3位(小) 2 7 5" xfId="24209"/>
    <cellStyle name="表体数字3位(小) 2 7 6" xfId="24210"/>
    <cellStyle name="表体数字3位(小) 2 7 7" xfId="24211"/>
    <cellStyle name="表体数字3位(小) 2 7 8" xfId="24212"/>
    <cellStyle name="表体数字3位(小) 2 7 9" xfId="24213"/>
    <cellStyle name="表体数字3位(小) 2 70" xfId="17536"/>
    <cellStyle name="表体数字3位(小) 2 71" xfId="17565"/>
    <cellStyle name="表体数字3位(小) 2 72" xfId="17589"/>
    <cellStyle name="表体数字3位(小) 2 73" xfId="17593"/>
    <cellStyle name="表体数字3位(小) 2 74" xfId="8237"/>
    <cellStyle name="表体数字3位(小) 2 8" xfId="24214"/>
    <cellStyle name="表体数字3位(小) 2 8 10" xfId="24215"/>
    <cellStyle name="表体数字3位(小) 2 8 2" xfId="24218"/>
    <cellStyle name="表体数字3位(小) 2 8 2 2" xfId="24219"/>
    <cellStyle name="表体数字3位(小) 2 8 2 3" xfId="24222"/>
    <cellStyle name="表体数字3位(小) 2 8 2 4" xfId="24223"/>
    <cellStyle name="表体数字3位(小) 2 8 2 5" xfId="1606"/>
    <cellStyle name="表体数字3位(小) 2 8 2 6" xfId="1617"/>
    <cellStyle name="表体数字3位(小) 2 8 2 7" xfId="24224"/>
    <cellStyle name="表体数字3位(小) 2 8 2 8" xfId="24225"/>
    <cellStyle name="表体数字3位(小) 2 8 3" xfId="24226"/>
    <cellStyle name="表体数字3位(小) 2 8 3 2" xfId="5935"/>
    <cellStyle name="表体数字3位(小) 2 8 3 3" xfId="5939"/>
    <cellStyle name="表体数字3位(小) 2 8 3 4" xfId="6150"/>
    <cellStyle name="表体数字3位(小) 2 8 3 5" xfId="1235"/>
    <cellStyle name="表体数字3位(小) 2 8 3 6" xfId="1253"/>
    <cellStyle name="表体数字3位(小) 2 8 3 7" xfId="24227"/>
    <cellStyle name="表体数字3位(小) 2 8 3 8" xfId="24228"/>
    <cellStyle name="表体数字3位(小) 2 8 4" xfId="24229"/>
    <cellStyle name="表体数字3位(小) 2 8 5" xfId="3336"/>
    <cellStyle name="表体数字3位(小) 2 8 6" xfId="3369"/>
    <cellStyle name="表体数字3位(小) 2 8 7" xfId="3383"/>
    <cellStyle name="表体数字3位(小) 2 8 8" xfId="3385"/>
    <cellStyle name="表体数字3位(小) 2 8 9" xfId="3391"/>
    <cellStyle name="表体数字3位(小) 2 9" xfId="24230"/>
    <cellStyle name="表体数字3位(小) 2 9 10" xfId="24231"/>
    <cellStyle name="表体数字3位(小) 2 9 2" xfId="24234"/>
    <cellStyle name="表体数字3位(小) 2 9 2 2" xfId="24235"/>
    <cellStyle name="表体数字3位(小) 2 9 2 3" xfId="24238"/>
    <cellStyle name="表体数字3位(小) 2 9 2 4" xfId="24239"/>
    <cellStyle name="表体数字3位(小) 2 9 2 5" xfId="24240"/>
    <cellStyle name="表体数字3位(小) 2 9 2 6" xfId="24241"/>
    <cellStyle name="表体数字3位(小) 2 9 2 7" xfId="24242"/>
    <cellStyle name="表体数字3位(小) 2 9 2 8" xfId="24243"/>
    <cellStyle name="表体数字3位(小) 2 9 3" xfId="24244"/>
    <cellStyle name="表体数字3位(小) 2 9 3 2" xfId="12195"/>
    <cellStyle name="表体数字3位(小) 2 9 3 3" xfId="12199"/>
    <cellStyle name="表体数字3位(小) 2 9 3 4" xfId="12203"/>
    <cellStyle name="表体数字3位(小) 2 9 3 5" xfId="12210"/>
    <cellStyle name="表体数字3位(小) 2 9 3 6" xfId="24245"/>
    <cellStyle name="表体数字3位(小) 2 9 3 7" xfId="24246"/>
    <cellStyle name="表体数字3位(小) 2 9 3 8" xfId="24247"/>
    <cellStyle name="表体数字3位(小) 2 9 4" xfId="24248"/>
    <cellStyle name="表体数字3位(小) 2 9 5" xfId="24249"/>
    <cellStyle name="表体数字3位(小) 2 9 6" xfId="24250"/>
    <cellStyle name="表体数字3位(小) 2 9 7" xfId="24251"/>
    <cellStyle name="表体数字3位(小) 2 9 8" xfId="24252"/>
    <cellStyle name="表体数字3位(小) 2 9 9" xfId="24253"/>
    <cellStyle name="表体数字3位(小) 20" xfId="22697"/>
    <cellStyle name="表体数字3位(小) 20 10" xfId="22699"/>
    <cellStyle name="表体数字3位(小) 20 2" xfId="14991"/>
    <cellStyle name="表体数字3位(小) 20 2 2" xfId="22701"/>
    <cellStyle name="表体数字3位(小) 20 2 3" xfId="22703"/>
    <cellStyle name="表体数字3位(小) 20 2 4" xfId="22705"/>
    <cellStyle name="表体数字3位(小) 20 2 5" xfId="22707"/>
    <cellStyle name="表体数字3位(小) 20 2 6" xfId="22709"/>
    <cellStyle name="表体数字3位(小) 20 2 7" xfId="22711"/>
    <cellStyle name="表体数字3位(小) 20 2 8" xfId="22713"/>
    <cellStyle name="表体数字3位(小) 20 3" xfId="14996"/>
    <cellStyle name="表体数字3位(小) 20 3 2" xfId="22715"/>
    <cellStyle name="表体数字3位(小) 20 3 3" xfId="22717"/>
    <cellStyle name="表体数字3位(小) 20 3 4" xfId="22719"/>
    <cellStyle name="表体数字3位(小) 20 3 5" xfId="22721"/>
    <cellStyle name="表体数字3位(小) 20 3 6" xfId="22723"/>
    <cellStyle name="表体数字3位(小) 20 3 7" xfId="22725"/>
    <cellStyle name="表体数字3位(小) 20 3 8" xfId="22727"/>
    <cellStyle name="表体数字3位(小) 20 4" xfId="15001"/>
    <cellStyle name="表体数字3位(小) 20 5" xfId="22729"/>
    <cellStyle name="表体数字3位(小) 20 6" xfId="22734"/>
    <cellStyle name="表体数字3位(小) 20 7" xfId="8322"/>
    <cellStyle name="表体数字3位(小) 20 8" xfId="8328"/>
    <cellStyle name="表体数字3位(小) 20 9" xfId="22739"/>
    <cellStyle name="表体数字3位(小) 21" xfId="10560"/>
    <cellStyle name="表体数字3位(小) 21 10" xfId="129"/>
    <cellStyle name="表体数字3位(小) 21 2" xfId="22743"/>
    <cellStyle name="表体数字3位(小) 21 2 2" xfId="22745"/>
    <cellStyle name="表体数字3位(小) 21 2 3" xfId="22747"/>
    <cellStyle name="表体数字3位(小) 21 2 4" xfId="22749"/>
    <cellStyle name="表体数字3位(小) 21 2 5" xfId="22751"/>
    <cellStyle name="表体数字3位(小) 21 2 6" xfId="22753"/>
    <cellStyle name="表体数字3位(小) 21 2 7" xfId="22755"/>
    <cellStyle name="表体数字3位(小) 21 2 8" xfId="22757"/>
    <cellStyle name="表体数字3位(小) 21 3" xfId="22759"/>
    <cellStyle name="表体数字3位(小) 21 3 2" xfId="22761"/>
    <cellStyle name="表体数字3位(小) 21 3 3" xfId="22763"/>
    <cellStyle name="表体数字3位(小) 21 3 4" xfId="22765"/>
    <cellStyle name="表体数字3位(小) 21 3 5" xfId="22767"/>
    <cellStyle name="表体数字3位(小) 21 3 6" xfId="22769"/>
    <cellStyle name="表体数字3位(小) 21 3 7" xfId="22771"/>
    <cellStyle name="表体数字3位(小) 21 3 8" xfId="22773"/>
    <cellStyle name="表体数字3位(小) 21 4" xfId="22775"/>
    <cellStyle name="表体数字3位(小) 21 5" xfId="22777"/>
    <cellStyle name="表体数字3位(小) 21 6" xfId="22779"/>
    <cellStyle name="表体数字3位(小) 21 7" xfId="8334"/>
    <cellStyle name="表体数字3位(小) 21 8" xfId="8337"/>
    <cellStyle name="表体数字3位(小) 21 9" xfId="22781"/>
    <cellStyle name="表体数字3位(小) 22" xfId="22783"/>
    <cellStyle name="表体数字3位(小) 22 10" xfId="22785"/>
    <cellStyle name="表体数字3位(小) 22 2" xfId="22789"/>
    <cellStyle name="表体数字3位(小) 22 2 2" xfId="12769"/>
    <cellStyle name="表体数字3位(小) 22 2 3" xfId="12772"/>
    <cellStyle name="表体数字3位(小) 22 2 4" xfId="12775"/>
    <cellStyle name="表体数字3位(小) 22 2 5" xfId="12778"/>
    <cellStyle name="表体数字3位(小) 22 2 6" xfId="12781"/>
    <cellStyle name="表体数字3位(小) 22 2 7" xfId="12814"/>
    <cellStyle name="表体数字3位(小) 22 2 8" xfId="22791"/>
    <cellStyle name="表体数字3位(小) 22 3" xfId="22793"/>
    <cellStyle name="表体数字3位(小) 22 3 2" xfId="22795"/>
    <cellStyle name="表体数字3位(小) 22 3 3" xfId="22797"/>
    <cellStyle name="表体数字3位(小) 22 3 4" xfId="22799"/>
    <cellStyle name="表体数字3位(小) 22 3 5" xfId="22801"/>
    <cellStyle name="表体数字3位(小) 22 3 6" xfId="22803"/>
    <cellStyle name="表体数字3位(小) 22 3 7" xfId="22805"/>
    <cellStyle name="表体数字3位(小) 22 3 8" xfId="22807"/>
    <cellStyle name="表体数字3位(小) 22 4" xfId="22809"/>
    <cellStyle name="表体数字3位(小) 22 5" xfId="22811"/>
    <cellStyle name="表体数字3位(小) 22 6" xfId="22813"/>
    <cellStyle name="表体数字3位(小) 22 7" xfId="8342"/>
    <cellStyle name="表体数字3位(小) 22 8" xfId="8346"/>
    <cellStyle name="表体数字3位(小) 22 9" xfId="7001"/>
    <cellStyle name="表体数字3位(小) 23" xfId="22815"/>
    <cellStyle name="表体数字3位(小) 23 10" xfId="22817"/>
    <cellStyle name="表体数字3位(小) 23 2" xfId="22819"/>
    <cellStyle name="表体数字3位(小) 23 2 2" xfId="22821"/>
    <cellStyle name="表体数字3位(小) 23 2 3" xfId="22823"/>
    <cellStyle name="表体数字3位(小) 23 2 4" xfId="22825"/>
    <cellStyle name="表体数字3位(小) 23 2 5" xfId="22827"/>
    <cellStyle name="表体数字3位(小) 23 2 6" xfId="22829"/>
    <cellStyle name="表体数字3位(小) 23 2 7" xfId="22831"/>
    <cellStyle name="表体数字3位(小) 23 2 8" xfId="22833"/>
    <cellStyle name="表体数字3位(小) 23 3" xfId="22835"/>
    <cellStyle name="表体数字3位(小) 23 3 2" xfId="22837"/>
    <cellStyle name="表体数字3位(小) 23 3 3" xfId="22839"/>
    <cellStyle name="表体数字3位(小) 23 3 4" xfId="7418"/>
    <cellStyle name="表体数字3位(小) 23 3 5" xfId="22841"/>
    <cellStyle name="表体数字3位(小) 23 3 6" xfId="22843"/>
    <cellStyle name="表体数字3位(小) 23 3 7" xfId="22845"/>
    <cellStyle name="表体数字3位(小) 23 3 8" xfId="22847"/>
    <cellStyle name="表体数字3位(小) 23 4" xfId="22849"/>
    <cellStyle name="表体数字3位(小) 23 5" xfId="22851"/>
    <cellStyle name="表体数字3位(小) 23 6" xfId="22853"/>
    <cellStyle name="表体数字3位(小) 23 7" xfId="8351"/>
    <cellStyle name="表体数字3位(小) 23 8" xfId="8355"/>
    <cellStyle name="表体数字3位(小) 23 9" xfId="7012"/>
    <cellStyle name="表体数字3位(小) 24" xfId="22855"/>
    <cellStyle name="表体数字3位(小) 24 10" xfId="19944"/>
    <cellStyle name="表体数字3位(小) 24 2" xfId="22857"/>
    <cellStyle name="表体数字3位(小) 24 2 2" xfId="22859"/>
    <cellStyle name="表体数字3位(小) 24 2 3" xfId="22861"/>
    <cellStyle name="表体数字3位(小) 24 2 4" xfId="22863"/>
    <cellStyle name="表体数字3位(小) 24 2 5" xfId="22865"/>
    <cellStyle name="表体数字3位(小) 24 2 6" xfId="22867"/>
    <cellStyle name="表体数字3位(小) 24 2 7" xfId="22869"/>
    <cellStyle name="表体数字3位(小) 24 2 8" xfId="1041"/>
    <cellStyle name="表体数字3位(小) 24 3" xfId="22871"/>
    <cellStyle name="表体数字3位(小) 24 3 2" xfId="22874"/>
    <cellStyle name="表体数字3位(小) 24 3 3" xfId="22876"/>
    <cellStyle name="表体数字3位(小) 24 3 4" xfId="22878"/>
    <cellStyle name="表体数字3位(小) 24 3 5" xfId="22880"/>
    <cellStyle name="表体数字3位(小) 24 3 6" xfId="22882"/>
    <cellStyle name="表体数字3位(小) 24 3 7" xfId="22884"/>
    <cellStyle name="表体数字3位(小) 24 3 8" xfId="1360"/>
    <cellStyle name="表体数字3位(小) 24 4" xfId="22886"/>
    <cellStyle name="表体数字3位(小) 24 5" xfId="22888"/>
    <cellStyle name="表体数字3位(小) 24 6" xfId="22890"/>
    <cellStyle name="表体数字3位(小) 24 7" xfId="22892"/>
    <cellStyle name="表体数字3位(小) 24 8" xfId="5952"/>
    <cellStyle name="表体数字3位(小) 24 9" xfId="105"/>
    <cellStyle name="表体数字3位(小) 25" xfId="24254"/>
    <cellStyle name="表体数字3位(小) 25 10" xfId="24256"/>
    <cellStyle name="表体数字3位(小) 25 2" xfId="24258"/>
    <cellStyle name="表体数字3位(小) 25 2 2" xfId="24260"/>
    <cellStyle name="表体数字3位(小) 25 2 3" xfId="24262"/>
    <cellStyle name="表体数字3位(小) 25 2 4" xfId="24264"/>
    <cellStyle name="表体数字3位(小) 25 2 5" xfId="24266"/>
    <cellStyle name="表体数字3位(小) 25 2 6" xfId="24268"/>
    <cellStyle name="表体数字3位(小) 25 2 7" xfId="24270"/>
    <cellStyle name="表体数字3位(小) 25 2 8" xfId="24272"/>
    <cellStyle name="表体数字3位(小) 25 3" xfId="24274"/>
    <cellStyle name="表体数字3位(小) 25 3 2" xfId="24276"/>
    <cellStyle name="表体数字3位(小) 25 3 3" xfId="24278"/>
    <cellStyle name="表体数字3位(小) 25 3 4" xfId="24280"/>
    <cellStyle name="表体数字3位(小) 25 3 5" xfId="24282"/>
    <cellStyle name="表体数字3位(小) 25 3 6" xfId="24284"/>
    <cellStyle name="表体数字3位(小) 25 3 7" xfId="24286"/>
    <cellStyle name="表体数字3位(小) 25 3 8" xfId="24288"/>
    <cellStyle name="表体数字3位(小) 25 4" xfId="24290"/>
    <cellStyle name="表体数字3位(小) 25 5" xfId="24292"/>
    <cellStyle name="表体数字3位(小) 25 6" xfId="24294"/>
    <cellStyle name="表体数字3位(小) 25 7" xfId="24296"/>
    <cellStyle name="表体数字3位(小) 25 8" xfId="5981"/>
    <cellStyle name="表体数字3位(小) 25 9" xfId="5986"/>
    <cellStyle name="表体数字3位(小) 26" xfId="24298"/>
    <cellStyle name="表体数字3位(小) 26 10" xfId="24300"/>
    <cellStyle name="表体数字3位(小) 26 2" xfId="23221"/>
    <cellStyle name="表体数字3位(小) 26 2 2" xfId="24302"/>
    <cellStyle name="表体数字3位(小) 26 2 3" xfId="7560"/>
    <cellStyle name="表体数字3位(小) 26 2 4" xfId="24304"/>
    <cellStyle name="表体数字3位(小) 26 2 5" xfId="24306"/>
    <cellStyle name="表体数字3位(小) 26 2 6" xfId="24308"/>
    <cellStyle name="表体数字3位(小) 26 2 7" xfId="24310"/>
    <cellStyle name="表体数字3位(小) 26 2 8" xfId="24312"/>
    <cellStyle name="表体数字3位(小) 26 3" xfId="23224"/>
    <cellStyle name="表体数字3位(小) 26 3 2" xfId="24314"/>
    <cellStyle name="表体数字3位(小) 26 3 3" xfId="9614"/>
    <cellStyle name="表体数字3位(小) 26 3 4" xfId="24316"/>
    <cellStyle name="表体数字3位(小) 26 3 5" xfId="24318"/>
    <cellStyle name="表体数字3位(小) 26 3 6" xfId="24320"/>
    <cellStyle name="表体数字3位(小) 26 3 7" xfId="24322"/>
    <cellStyle name="表体数字3位(小) 26 3 8" xfId="24324"/>
    <cellStyle name="表体数字3位(小) 26 4" xfId="23227"/>
    <cellStyle name="表体数字3位(小) 26 5" xfId="23230"/>
    <cellStyle name="表体数字3位(小) 26 6" xfId="23233"/>
    <cellStyle name="表体数字3位(小) 26 7" xfId="24326"/>
    <cellStyle name="表体数字3位(小) 26 8" xfId="6007"/>
    <cellStyle name="表体数字3位(小) 26 9" xfId="6010"/>
    <cellStyle name="表体数字3位(小) 27" xfId="11780"/>
    <cellStyle name="表体数字3位(小) 27 10" xfId="24328"/>
    <cellStyle name="表体数字3位(小) 27 2" xfId="23239"/>
    <cellStyle name="表体数字3位(小) 27 2 2" xfId="4776"/>
    <cellStyle name="表体数字3位(小) 27 2 3" xfId="5051"/>
    <cellStyle name="表体数字3位(小) 27 2 4" xfId="24332"/>
    <cellStyle name="表体数字3位(小) 27 2 5" xfId="24334"/>
    <cellStyle name="表体数字3位(小) 27 2 6" xfId="24336"/>
    <cellStyle name="表体数字3位(小) 27 2 7" xfId="24338"/>
    <cellStyle name="表体数字3位(小) 27 2 8" xfId="24340"/>
    <cellStyle name="表体数字3位(小) 27 3" xfId="23242"/>
    <cellStyle name="表体数字3位(小) 27 3 2" xfId="4792"/>
    <cellStyle name="表体数字3位(小) 27 3 3" xfId="8470"/>
    <cellStyle name="表体数字3位(小) 27 3 4" xfId="8475"/>
    <cellStyle name="表体数字3位(小) 27 3 5" xfId="8480"/>
    <cellStyle name="表体数字3位(小) 27 3 6" xfId="8486"/>
    <cellStyle name="表体数字3位(小) 27 3 7" xfId="8494"/>
    <cellStyle name="表体数字3位(小) 27 3 8" xfId="8504"/>
    <cellStyle name="表体数字3位(小) 27 4" xfId="23245"/>
    <cellStyle name="表体数字3位(小) 27 5" xfId="23248"/>
    <cellStyle name="表体数字3位(小) 27 6" xfId="23251"/>
    <cellStyle name="表体数字3位(小) 27 7" xfId="24342"/>
    <cellStyle name="表体数字3位(小) 27 8" xfId="24344"/>
    <cellStyle name="表体数字3位(小) 27 9" xfId="24346"/>
    <cellStyle name="表体数字3位(小) 28" xfId="11783"/>
    <cellStyle name="表体数字3位(小) 28 10" xfId="12584"/>
    <cellStyle name="表体数字3位(小) 28 2" xfId="24348"/>
    <cellStyle name="表体数字3位(小) 28 2 2" xfId="7045"/>
    <cellStyle name="表体数字3位(小) 28 2 3" xfId="24352"/>
    <cellStyle name="表体数字3位(小) 28 2 4" xfId="24354"/>
    <cellStyle name="表体数字3位(小) 28 2 5" xfId="24356"/>
    <cellStyle name="表体数字3位(小) 28 2 6" xfId="24358"/>
    <cellStyle name="表体数字3位(小) 28 2 7" xfId="24360"/>
    <cellStyle name="表体数字3位(小) 28 2 8" xfId="24362"/>
    <cellStyle name="表体数字3位(小) 28 3" xfId="24364"/>
    <cellStyle name="表体数字3位(小) 28 3 2" xfId="7049"/>
    <cellStyle name="表体数字3位(小) 28 3 3" xfId="24368"/>
    <cellStyle name="表体数字3位(小) 28 3 4" xfId="24370"/>
    <cellStyle name="表体数字3位(小) 28 3 5" xfId="24372"/>
    <cellStyle name="表体数字3位(小) 28 3 6" xfId="24374"/>
    <cellStyle name="表体数字3位(小) 28 3 7" xfId="24376"/>
    <cellStyle name="表体数字3位(小) 28 3 8" xfId="24378"/>
    <cellStyle name="表体数字3位(小) 28 4" xfId="24380"/>
    <cellStyle name="表体数字3位(小) 28 5" xfId="24384"/>
    <cellStyle name="表体数字3位(小) 28 6" xfId="24388"/>
    <cellStyle name="表体数字3位(小) 28 7" xfId="24392"/>
    <cellStyle name="表体数字3位(小) 28 8" xfId="24396"/>
    <cellStyle name="表体数字3位(小) 28 9" xfId="24398"/>
    <cellStyle name="表体数字3位(小) 29" xfId="7511"/>
    <cellStyle name="表体数字3位(小) 29 10" xfId="9445"/>
    <cellStyle name="表体数字3位(小) 29 2" xfId="24400"/>
    <cellStyle name="表体数字3位(小) 29 2 2" xfId="24404"/>
    <cellStyle name="表体数字3位(小) 29 2 3" xfId="24406"/>
    <cellStyle name="表体数字3位(小) 29 2 4" xfId="24408"/>
    <cellStyle name="表体数字3位(小) 29 2 5" xfId="24410"/>
    <cellStyle name="表体数字3位(小) 29 2 6" xfId="24412"/>
    <cellStyle name="表体数字3位(小) 29 2 7" xfId="24414"/>
    <cellStyle name="表体数字3位(小) 29 2 8" xfId="24416"/>
    <cellStyle name="表体数字3位(小) 29 3" xfId="24418"/>
    <cellStyle name="表体数字3位(小) 29 3 2" xfId="24423"/>
    <cellStyle name="表体数字3位(小) 29 3 3" xfId="24425"/>
    <cellStyle name="表体数字3位(小) 29 3 4" xfId="24427"/>
    <cellStyle name="表体数字3位(小) 29 3 5" xfId="24429"/>
    <cellStyle name="表体数字3位(小) 29 3 6" xfId="24431"/>
    <cellStyle name="表体数字3位(小) 29 3 7" xfId="24433"/>
    <cellStyle name="表体数字3位(小) 29 3 8" xfId="24435"/>
    <cellStyle name="表体数字3位(小) 29 4" xfId="24437"/>
    <cellStyle name="表体数字3位(小) 29 5" xfId="24441"/>
    <cellStyle name="表体数字3位(小) 29 6" xfId="24445"/>
    <cellStyle name="表体数字3位(小) 29 7" xfId="24449"/>
    <cellStyle name="表体数字3位(小) 29 8" xfId="1179"/>
    <cellStyle name="表体数字3位(小) 29 9" xfId="1185"/>
    <cellStyle name="表体数字3位(小) 3" xfId="7695"/>
    <cellStyle name="表体数字3位(小) 3 10" xfId="24453"/>
    <cellStyle name="表体数字3位(小) 3 2" xfId="24454"/>
    <cellStyle name="表体数字3位(小) 3 2 2" xfId="24455"/>
    <cellStyle name="表体数字3位(小) 3 2 3" xfId="24456"/>
    <cellStyle name="表体数字3位(小) 3 2 4" xfId="24457"/>
    <cellStyle name="表体数字3位(小) 3 2 5" xfId="24458"/>
    <cellStyle name="表体数字3位(小) 3 2 6" xfId="24459"/>
    <cellStyle name="表体数字3位(小) 3 2 7" xfId="24460"/>
    <cellStyle name="表体数字3位(小) 3 2 8" xfId="24461"/>
    <cellStyle name="表体数字3位(小) 3 3" xfId="24462"/>
    <cellStyle name="表体数字3位(小) 3 3 2" xfId="24463"/>
    <cellStyle name="表体数字3位(小) 3 3 3" xfId="24464"/>
    <cellStyle name="表体数字3位(小) 3 3 4" xfId="24465"/>
    <cellStyle name="表体数字3位(小) 3 3 5" xfId="24466"/>
    <cellStyle name="表体数字3位(小) 3 3 6" xfId="24467"/>
    <cellStyle name="表体数字3位(小) 3 3 7" xfId="24468"/>
    <cellStyle name="表体数字3位(小) 3 3 8" xfId="24469"/>
    <cellStyle name="表体数字3位(小) 3 4" xfId="24470"/>
    <cellStyle name="表体数字3位(小) 3 5" xfId="24471"/>
    <cellStyle name="表体数字3位(小) 3 6" xfId="24472"/>
    <cellStyle name="表体数字3位(小) 3 7" xfId="10565"/>
    <cellStyle name="表体数字3位(小) 3 8" xfId="10567"/>
    <cellStyle name="表体数字3位(小) 3 9" xfId="10569"/>
    <cellStyle name="表体数字3位(小) 30" xfId="24255"/>
    <cellStyle name="表体数字3位(小) 30 10" xfId="24257"/>
    <cellStyle name="表体数字3位(小) 30 2" xfId="24259"/>
    <cellStyle name="表体数字3位(小) 30 2 2" xfId="24261"/>
    <cellStyle name="表体数字3位(小) 30 2 3" xfId="24263"/>
    <cellStyle name="表体数字3位(小) 30 2 4" xfId="24265"/>
    <cellStyle name="表体数字3位(小) 30 2 5" xfId="24267"/>
    <cellStyle name="表体数字3位(小) 30 2 6" xfId="24269"/>
    <cellStyle name="表体数字3位(小) 30 2 7" xfId="24271"/>
    <cellStyle name="表体数字3位(小) 30 2 8" xfId="24273"/>
    <cellStyle name="表体数字3位(小) 30 3" xfId="24275"/>
    <cellStyle name="表体数字3位(小) 30 3 2" xfId="24277"/>
    <cellStyle name="表体数字3位(小) 30 3 3" xfId="24279"/>
    <cellStyle name="表体数字3位(小) 30 3 4" xfId="24281"/>
    <cellStyle name="表体数字3位(小) 30 3 5" xfId="24283"/>
    <cellStyle name="表体数字3位(小) 30 3 6" xfId="24285"/>
    <cellStyle name="表体数字3位(小) 30 3 7" xfId="24287"/>
    <cellStyle name="表体数字3位(小) 30 3 8" xfId="24289"/>
    <cellStyle name="表体数字3位(小) 30 4" xfId="24291"/>
    <cellStyle name="表体数字3位(小) 30 5" xfId="24293"/>
    <cellStyle name="表体数字3位(小) 30 6" xfId="24295"/>
    <cellStyle name="表体数字3位(小) 30 7" xfId="24297"/>
    <cellStyle name="表体数字3位(小) 30 8" xfId="5982"/>
    <cellStyle name="表体数字3位(小) 30 9" xfId="5987"/>
    <cellStyle name="表体数字3位(小) 31" xfId="24299"/>
    <cellStyle name="表体数字3位(小) 31 10" xfId="24301"/>
    <cellStyle name="表体数字3位(小) 31 2" xfId="23222"/>
    <cellStyle name="表体数字3位(小) 31 2 2" xfId="24303"/>
    <cellStyle name="表体数字3位(小) 31 2 3" xfId="7561"/>
    <cellStyle name="表体数字3位(小) 31 2 4" xfId="24305"/>
    <cellStyle name="表体数字3位(小) 31 2 5" xfId="24307"/>
    <cellStyle name="表体数字3位(小) 31 2 6" xfId="24309"/>
    <cellStyle name="表体数字3位(小) 31 2 7" xfId="24311"/>
    <cellStyle name="表体数字3位(小) 31 2 8" xfId="24313"/>
    <cellStyle name="表体数字3位(小) 31 3" xfId="23225"/>
    <cellStyle name="表体数字3位(小) 31 3 2" xfId="24315"/>
    <cellStyle name="表体数字3位(小) 31 3 3" xfId="9615"/>
    <cellStyle name="表体数字3位(小) 31 3 4" xfId="24317"/>
    <cellStyle name="表体数字3位(小) 31 3 5" xfId="24319"/>
    <cellStyle name="表体数字3位(小) 31 3 6" xfId="24321"/>
    <cellStyle name="表体数字3位(小) 31 3 7" xfId="24323"/>
    <cellStyle name="表体数字3位(小) 31 3 8" xfId="24325"/>
    <cellStyle name="表体数字3位(小) 31 4" xfId="23228"/>
    <cellStyle name="表体数字3位(小) 31 5" xfId="23231"/>
    <cellStyle name="表体数字3位(小) 31 6" xfId="23234"/>
    <cellStyle name="表体数字3位(小) 31 7" xfId="24327"/>
    <cellStyle name="表体数字3位(小) 31 8" xfId="6008"/>
    <cellStyle name="表体数字3位(小) 31 9" xfId="6011"/>
    <cellStyle name="表体数字3位(小) 32" xfId="11781"/>
    <cellStyle name="表体数字3位(小) 32 10" xfId="24329"/>
    <cellStyle name="表体数字3位(小) 32 2" xfId="23240"/>
    <cellStyle name="表体数字3位(小) 32 2 2" xfId="4777"/>
    <cellStyle name="表体数字3位(小) 32 2 3" xfId="5052"/>
    <cellStyle name="表体数字3位(小) 32 2 4" xfId="24333"/>
    <cellStyle name="表体数字3位(小) 32 2 5" xfId="24335"/>
    <cellStyle name="表体数字3位(小) 32 2 6" xfId="24337"/>
    <cellStyle name="表体数字3位(小) 32 2 7" xfId="24339"/>
    <cellStyle name="表体数字3位(小) 32 2 8" xfId="24341"/>
    <cellStyle name="表体数字3位(小) 32 3" xfId="23243"/>
    <cellStyle name="表体数字3位(小) 32 3 2" xfId="4793"/>
    <cellStyle name="表体数字3位(小) 32 3 3" xfId="8471"/>
    <cellStyle name="表体数字3位(小) 32 3 4" xfId="8476"/>
    <cellStyle name="表体数字3位(小) 32 3 5" xfId="8481"/>
    <cellStyle name="表体数字3位(小) 32 3 6" xfId="8487"/>
    <cellStyle name="表体数字3位(小) 32 3 7" xfId="8495"/>
    <cellStyle name="表体数字3位(小) 32 3 8" xfId="8505"/>
    <cellStyle name="表体数字3位(小) 32 4" xfId="23246"/>
    <cellStyle name="表体数字3位(小) 32 5" xfId="23249"/>
    <cellStyle name="表体数字3位(小) 32 6" xfId="23252"/>
    <cellStyle name="表体数字3位(小) 32 7" xfId="24343"/>
    <cellStyle name="表体数字3位(小) 32 8" xfId="24345"/>
    <cellStyle name="表体数字3位(小) 32 9" xfId="24347"/>
    <cellStyle name="表体数字3位(小) 33" xfId="11784"/>
    <cellStyle name="表体数字3位(小) 33 10" xfId="12585"/>
    <cellStyle name="表体数字3位(小) 33 2" xfId="24349"/>
    <cellStyle name="表体数字3位(小) 33 2 2" xfId="7046"/>
    <cellStyle name="表体数字3位(小) 33 2 3" xfId="24353"/>
    <cellStyle name="表体数字3位(小) 33 2 4" xfId="24355"/>
    <cellStyle name="表体数字3位(小) 33 2 5" xfId="24357"/>
    <cellStyle name="表体数字3位(小) 33 2 6" xfId="24359"/>
    <cellStyle name="表体数字3位(小) 33 2 7" xfId="24361"/>
    <cellStyle name="表体数字3位(小) 33 2 8" xfId="24363"/>
    <cellStyle name="表体数字3位(小) 33 3" xfId="24365"/>
    <cellStyle name="表体数字3位(小) 33 3 2" xfId="7050"/>
    <cellStyle name="表体数字3位(小) 33 3 3" xfId="24369"/>
    <cellStyle name="表体数字3位(小) 33 3 4" xfId="24371"/>
    <cellStyle name="表体数字3位(小) 33 3 5" xfId="24373"/>
    <cellStyle name="表体数字3位(小) 33 3 6" xfId="24375"/>
    <cellStyle name="表体数字3位(小) 33 3 7" xfId="24377"/>
    <cellStyle name="表体数字3位(小) 33 3 8" xfId="24379"/>
    <cellStyle name="表体数字3位(小) 33 4" xfId="24381"/>
    <cellStyle name="表体数字3位(小) 33 5" xfId="24385"/>
    <cellStyle name="表体数字3位(小) 33 6" xfId="24389"/>
    <cellStyle name="表体数字3位(小) 33 7" xfId="24393"/>
    <cellStyle name="表体数字3位(小) 33 8" xfId="24397"/>
    <cellStyle name="表体数字3位(小) 33 9" xfId="24399"/>
    <cellStyle name="表体数字3位(小) 34" xfId="7512"/>
    <cellStyle name="表体数字3位(小) 34 10" xfId="9446"/>
    <cellStyle name="表体数字3位(小) 34 2" xfId="24401"/>
    <cellStyle name="表体数字3位(小) 34 2 2" xfId="24405"/>
    <cellStyle name="表体数字3位(小) 34 2 3" xfId="24407"/>
    <cellStyle name="表体数字3位(小) 34 2 4" xfId="24409"/>
    <cellStyle name="表体数字3位(小) 34 2 5" xfId="24411"/>
    <cellStyle name="表体数字3位(小) 34 2 6" xfId="24413"/>
    <cellStyle name="表体数字3位(小) 34 2 7" xfId="24415"/>
    <cellStyle name="表体数字3位(小) 34 2 8" xfId="24417"/>
    <cellStyle name="表体数字3位(小) 34 3" xfId="24419"/>
    <cellStyle name="表体数字3位(小) 34 3 2" xfId="24424"/>
    <cellStyle name="表体数字3位(小) 34 3 3" xfId="24426"/>
    <cellStyle name="表体数字3位(小) 34 3 4" xfId="24428"/>
    <cellStyle name="表体数字3位(小) 34 3 5" xfId="24430"/>
    <cellStyle name="表体数字3位(小) 34 3 6" xfId="24432"/>
    <cellStyle name="表体数字3位(小) 34 3 7" xfId="24434"/>
    <cellStyle name="表体数字3位(小) 34 3 8" xfId="24436"/>
    <cellStyle name="表体数字3位(小) 34 4" xfId="24438"/>
    <cellStyle name="表体数字3位(小) 34 5" xfId="24442"/>
    <cellStyle name="表体数字3位(小) 34 6" xfId="24446"/>
    <cellStyle name="表体数字3位(小) 34 7" xfId="24450"/>
    <cellStyle name="表体数字3位(小) 34 8" xfId="1178"/>
    <cellStyle name="表体数字3位(小) 34 9" xfId="1184"/>
    <cellStyle name="表体数字3位(小) 35" xfId="7514"/>
    <cellStyle name="表体数字3位(小) 35 10" xfId="24473"/>
    <cellStyle name="表体数字3位(小) 35 2" xfId="24475"/>
    <cellStyle name="表体数字3位(小) 35 2 2" xfId="24477"/>
    <cellStyle name="表体数字3位(小) 35 2 3" xfId="24479"/>
    <cellStyle name="表体数字3位(小) 35 2 4" xfId="24481"/>
    <cellStyle name="表体数字3位(小) 35 2 5" xfId="24483"/>
    <cellStyle name="表体数字3位(小) 35 2 6" xfId="24485"/>
    <cellStyle name="表体数字3位(小) 35 2 7" xfId="24487"/>
    <cellStyle name="表体数字3位(小) 35 2 8" xfId="24489"/>
    <cellStyle name="表体数字3位(小) 35 3" xfId="6161"/>
    <cellStyle name="表体数字3位(小) 35 3 2" xfId="24491"/>
    <cellStyle name="表体数字3位(小) 35 3 3" xfId="24493"/>
    <cellStyle name="表体数字3位(小) 35 3 4" xfId="24495"/>
    <cellStyle name="表体数字3位(小) 35 3 5" xfId="24497"/>
    <cellStyle name="表体数字3位(小) 35 3 6" xfId="24499"/>
    <cellStyle name="表体数字3位(小) 35 3 7" xfId="24501"/>
    <cellStyle name="表体数字3位(小) 35 3 8" xfId="24503"/>
    <cellStyle name="表体数字3位(小) 35 4" xfId="24505"/>
    <cellStyle name="表体数字3位(小) 35 5" xfId="24507"/>
    <cellStyle name="表体数字3位(小) 35 6" xfId="24509"/>
    <cellStyle name="表体数字3位(小) 35 7" xfId="24511"/>
    <cellStyle name="表体数字3位(小) 35 8" xfId="24513"/>
    <cellStyle name="表体数字3位(小) 35 9" xfId="24515"/>
    <cellStyle name="表体数字3位(小) 36" xfId="24517"/>
    <cellStyle name="表体数字3位(小) 36 10" xfId="24519"/>
    <cellStyle name="表体数字3位(小) 36 2" xfId="24521"/>
    <cellStyle name="表体数字3位(小) 36 2 2" xfId="24523"/>
    <cellStyle name="表体数字3位(小) 36 2 3" xfId="24525"/>
    <cellStyle name="表体数字3位(小) 36 2 4" xfId="24527"/>
    <cellStyle name="表体数字3位(小) 36 2 5" xfId="24529"/>
    <cellStyle name="表体数字3位(小) 36 2 6" xfId="24531"/>
    <cellStyle name="表体数字3位(小) 36 2 7" xfId="24533"/>
    <cellStyle name="表体数字3位(小) 36 2 8" xfId="24535"/>
    <cellStyle name="表体数字3位(小) 36 3" xfId="24537"/>
    <cellStyle name="表体数字3位(小) 36 3 2" xfId="24539"/>
    <cellStyle name="表体数字3位(小) 36 3 3" xfId="24541"/>
    <cellStyle name="表体数字3位(小) 36 3 4" xfId="24543"/>
    <cellStyle name="表体数字3位(小) 36 3 5" xfId="24545"/>
    <cellStyle name="表体数字3位(小) 36 3 6" xfId="6154"/>
    <cellStyle name="表体数字3位(小) 36 3 7" xfId="24547"/>
    <cellStyle name="表体数字3位(小) 36 3 8" xfId="24549"/>
    <cellStyle name="表体数字3位(小) 36 4" xfId="24551"/>
    <cellStyle name="表体数字3位(小) 36 5" xfId="24553"/>
    <cellStyle name="表体数字3位(小) 36 6" xfId="24555"/>
    <cellStyle name="表体数字3位(小) 36 7" xfId="24557"/>
    <cellStyle name="表体数字3位(小) 36 8" xfId="6030"/>
    <cellStyle name="表体数字3位(小) 36 9" xfId="6033"/>
    <cellStyle name="表体数字3位(小) 37" xfId="24559"/>
    <cellStyle name="表体数字3位(小) 37 10" xfId="24561"/>
    <cellStyle name="表体数字3位(小) 37 2" xfId="24567"/>
    <cellStyle name="表体数字3位(小) 37 2 2" xfId="24571"/>
    <cellStyle name="表体数字3位(小) 37 2 3" xfId="24575"/>
    <cellStyle name="表体数字3位(小) 37 2 4" xfId="24579"/>
    <cellStyle name="表体数字3位(小) 37 2 5" xfId="24583"/>
    <cellStyle name="表体数字3位(小) 37 2 6" xfId="24587"/>
    <cellStyle name="表体数字3位(小) 37 2 7" xfId="24591"/>
    <cellStyle name="表体数字3位(小) 37 2 8" xfId="24595"/>
    <cellStyle name="表体数字3位(小) 37 3" xfId="24599"/>
    <cellStyle name="表体数字3位(小) 37 3 2" xfId="24603"/>
    <cellStyle name="表体数字3位(小) 37 3 3" xfId="24607"/>
    <cellStyle name="表体数字3位(小) 37 3 4" xfId="24611"/>
    <cellStyle name="表体数字3位(小) 37 3 5" xfId="24615"/>
    <cellStyle name="表体数字3位(小) 37 3 6" xfId="24619"/>
    <cellStyle name="表体数字3位(小) 37 3 7" xfId="24623"/>
    <cellStyle name="表体数字3位(小) 37 3 8" xfId="24627"/>
    <cellStyle name="表体数字3位(小) 37 4" xfId="24631"/>
    <cellStyle name="表体数字3位(小) 37 5" xfId="24635"/>
    <cellStyle name="表体数字3位(小) 37 6" xfId="24639"/>
    <cellStyle name="表体数字3位(小) 37 7" xfId="24643"/>
    <cellStyle name="表体数字3位(小) 37 8" xfId="24647"/>
    <cellStyle name="表体数字3位(小) 37 9" xfId="24651"/>
    <cellStyle name="表体数字3位(小) 38" xfId="3064"/>
    <cellStyle name="表体数字3位(小) 38 10" xfId="24655"/>
    <cellStyle name="表体数字3位(小) 38 2" xfId="24657"/>
    <cellStyle name="表体数字3位(小) 38 2 2" xfId="24661"/>
    <cellStyle name="表体数字3位(小) 38 2 3" xfId="24664"/>
    <cellStyle name="表体数字3位(小) 38 2 4" xfId="24667"/>
    <cellStyle name="表体数字3位(小) 38 2 5" xfId="24670"/>
    <cellStyle name="表体数字3位(小) 38 2 6" xfId="24673"/>
    <cellStyle name="表体数字3位(小) 38 2 7" xfId="24676"/>
    <cellStyle name="表体数字3位(小) 38 2 8" xfId="24679"/>
    <cellStyle name="表体数字3位(小) 38 3" xfId="24682"/>
    <cellStyle name="表体数字3位(小) 38 3 2" xfId="3021"/>
    <cellStyle name="表体数字3位(小) 38 3 3" xfId="24686"/>
    <cellStyle name="表体数字3位(小) 38 3 4" xfId="24689"/>
    <cellStyle name="表体数字3位(小) 38 3 5" xfId="24692"/>
    <cellStyle name="表体数字3位(小) 38 3 6" xfId="24695"/>
    <cellStyle name="表体数字3位(小) 38 3 7" xfId="24698"/>
    <cellStyle name="表体数字3位(小) 38 3 8" xfId="24701"/>
    <cellStyle name="表体数字3位(小) 38 4" xfId="24704"/>
    <cellStyle name="表体数字3位(小) 38 5" xfId="24708"/>
    <cellStyle name="表体数字3位(小) 38 6" xfId="24712"/>
    <cellStyle name="表体数字3位(小) 38 7" xfId="24715"/>
    <cellStyle name="表体数字3位(小) 38 8" xfId="24717"/>
    <cellStyle name="表体数字3位(小) 38 9" xfId="24719"/>
    <cellStyle name="表体数字3位(小) 39" xfId="3067"/>
    <cellStyle name="表体数字3位(小) 39 10" xfId="9067"/>
    <cellStyle name="表体数字3位(小) 39 2" xfId="24721"/>
    <cellStyle name="表体数字3位(小) 39 2 2" xfId="24723"/>
    <cellStyle name="表体数字3位(小) 39 2 3" xfId="24725"/>
    <cellStyle name="表体数字3位(小) 39 2 4" xfId="24727"/>
    <cellStyle name="表体数字3位(小) 39 2 5" xfId="24729"/>
    <cellStyle name="表体数字3位(小) 39 2 6" xfId="24731"/>
    <cellStyle name="表体数字3位(小) 39 2 7" xfId="24733"/>
    <cellStyle name="表体数字3位(小) 39 2 8" xfId="24735"/>
    <cellStyle name="表体数字3位(小) 39 3" xfId="24737"/>
    <cellStyle name="表体数字3位(小) 39 3 2" xfId="24740"/>
    <cellStyle name="表体数字3位(小) 39 3 3" xfId="24742"/>
    <cellStyle name="表体数字3位(小) 39 3 4" xfId="24744"/>
    <cellStyle name="表体数字3位(小) 39 3 5" xfId="24746"/>
    <cellStyle name="表体数字3位(小) 39 3 6" xfId="24748"/>
    <cellStyle name="表体数字3位(小) 39 3 7" xfId="24750"/>
    <cellStyle name="表体数字3位(小) 39 3 8" xfId="24752"/>
    <cellStyle name="表体数字3位(小) 39 4" xfId="24754"/>
    <cellStyle name="表体数字3位(小) 39 5" xfId="24756"/>
    <cellStyle name="表体数字3位(小) 39 6" xfId="24758"/>
    <cellStyle name="表体数字3位(小) 39 7" xfId="1636"/>
    <cellStyle name="表体数字3位(小) 39 8" xfId="1639"/>
    <cellStyle name="表体数字3位(小) 39 9" xfId="24760"/>
    <cellStyle name="表体数字3位(小) 4" xfId="7699"/>
    <cellStyle name="表体数字3位(小) 4 10" xfId="2510"/>
    <cellStyle name="表体数字3位(小) 4 2" xfId="11643"/>
    <cellStyle name="表体数字3位(小) 4 2 2" xfId="24762"/>
    <cellStyle name="表体数字3位(小) 4 2 3" xfId="24763"/>
    <cellStyle name="表体数字3位(小) 4 2 4" xfId="24764"/>
    <cellStyle name="表体数字3位(小) 4 2 5" xfId="24765"/>
    <cellStyle name="表体数字3位(小) 4 2 6" xfId="24766"/>
    <cellStyle name="表体数字3位(小) 4 2 7" xfId="24767"/>
    <cellStyle name="表体数字3位(小) 4 2 8" xfId="24768"/>
    <cellStyle name="表体数字3位(小) 4 3" xfId="11645"/>
    <cellStyle name="表体数字3位(小) 4 3 2" xfId="24769"/>
    <cellStyle name="表体数字3位(小) 4 3 3" xfId="24770"/>
    <cellStyle name="表体数字3位(小) 4 3 4" xfId="2159"/>
    <cellStyle name="表体数字3位(小) 4 3 5" xfId="2190"/>
    <cellStyle name="表体数字3位(小) 4 3 6" xfId="2210"/>
    <cellStyle name="表体数字3位(小) 4 3 7" xfId="2606"/>
    <cellStyle name="表体数字3位(小) 4 3 8" xfId="2611"/>
    <cellStyle name="表体数字3位(小) 4 4" xfId="24771"/>
    <cellStyle name="表体数字3位(小) 4 5" xfId="22358"/>
    <cellStyle name="表体数字3位(小) 4 6" xfId="8290"/>
    <cellStyle name="表体数字3位(小) 4 7" xfId="10578"/>
    <cellStyle name="表体数字3位(小) 4 8" xfId="10582"/>
    <cellStyle name="表体数字3位(小) 4 9" xfId="10586"/>
    <cellStyle name="表体数字3位(小) 40" xfId="7515"/>
    <cellStyle name="表体数字3位(小) 40 10" xfId="24474"/>
    <cellStyle name="表体数字3位(小) 40 2" xfId="24476"/>
    <cellStyle name="表体数字3位(小) 40 2 2" xfId="24478"/>
    <cellStyle name="表体数字3位(小) 40 2 3" xfId="24480"/>
    <cellStyle name="表体数字3位(小) 40 2 4" xfId="24482"/>
    <cellStyle name="表体数字3位(小) 40 2 5" xfId="24484"/>
    <cellStyle name="表体数字3位(小) 40 2 6" xfId="24486"/>
    <cellStyle name="表体数字3位(小) 40 2 7" xfId="24488"/>
    <cellStyle name="表体数字3位(小) 40 2 8" xfId="24490"/>
    <cellStyle name="表体数字3位(小) 40 3" xfId="6162"/>
    <cellStyle name="表体数字3位(小) 40 3 2" xfId="24492"/>
    <cellStyle name="表体数字3位(小) 40 3 3" xfId="24494"/>
    <cellStyle name="表体数字3位(小) 40 3 4" xfId="24496"/>
    <cellStyle name="表体数字3位(小) 40 3 5" xfId="24498"/>
    <cellStyle name="表体数字3位(小) 40 3 6" xfId="24500"/>
    <cellStyle name="表体数字3位(小) 40 3 7" xfId="24502"/>
    <cellStyle name="表体数字3位(小) 40 3 8" xfId="24504"/>
    <cellStyle name="表体数字3位(小) 40 4" xfId="24506"/>
    <cellStyle name="表体数字3位(小) 40 5" xfId="24508"/>
    <cellStyle name="表体数字3位(小) 40 6" xfId="24510"/>
    <cellStyle name="表体数字3位(小) 40 7" xfId="24512"/>
    <cellStyle name="表体数字3位(小) 40 8" xfId="24514"/>
    <cellStyle name="表体数字3位(小) 40 9" xfId="24516"/>
    <cellStyle name="表体数字3位(小) 41" xfId="24518"/>
    <cellStyle name="表体数字3位(小) 41 10" xfId="24520"/>
    <cellStyle name="表体数字3位(小) 41 2" xfId="24522"/>
    <cellStyle name="表体数字3位(小) 41 2 2" xfId="24524"/>
    <cellStyle name="表体数字3位(小) 41 2 3" xfId="24526"/>
    <cellStyle name="表体数字3位(小) 41 2 4" xfId="24528"/>
    <cellStyle name="表体数字3位(小) 41 2 5" xfId="24530"/>
    <cellStyle name="表体数字3位(小) 41 2 6" xfId="24532"/>
    <cellStyle name="表体数字3位(小) 41 2 7" xfId="24534"/>
    <cellStyle name="表体数字3位(小) 41 2 8" xfId="24536"/>
    <cellStyle name="表体数字3位(小) 41 3" xfId="24538"/>
    <cellStyle name="表体数字3位(小) 41 3 2" xfId="24540"/>
    <cellStyle name="表体数字3位(小) 41 3 3" xfId="24542"/>
    <cellStyle name="表体数字3位(小) 41 3 4" xfId="24544"/>
    <cellStyle name="表体数字3位(小) 41 3 5" xfId="24546"/>
    <cellStyle name="表体数字3位(小) 41 3 6" xfId="6155"/>
    <cellStyle name="表体数字3位(小) 41 3 7" xfId="24548"/>
    <cellStyle name="表体数字3位(小) 41 3 8" xfId="24550"/>
    <cellStyle name="表体数字3位(小) 41 4" xfId="24552"/>
    <cellStyle name="表体数字3位(小) 41 5" xfId="24554"/>
    <cellStyle name="表体数字3位(小) 41 6" xfId="24556"/>
    <cellStyle name="表体数字3位(小) 41 7" xfId="24558"/>
    <cellStyle name="表体数字3位(小) 41 8" xfId="6031"/>
    <cellStyle name="表体数字3位(小) 41 9" xfId="6034"/>
    <cellStyle name="表体数字3位(小) 42" xfId="24560"/>
    <cellStyle name="表体数字3位(小) 42 10" xfId="24562"/>
    <cellStyle name="表体数字3位(小) 42 2" xfId="24568"/>
    <cellStyle name="表体数字3位(小) 42 2 2" xfId="24572"/>
    <cellStyle name="表体数字3位(小) 42 2 3" xfId="24576"/>
    <cellStyle name="表体数字3位(小) 42 2 4" xfId="24580"/>
    <cellStyle name="表体数字3位(小) 42 2 5" xfId="24584"/>
    <cellStyle name="表体数字3位(小) 42 2 6" xfId="24588"/>
    <cellStyle name="表体数字3位(小) 42 2 7" xfId="24592"/>
    <cellStyle name="表体数字3位(小) 42 2 8" xfId="24596"/>
    <cellStyle name="表体数字3位(小) 42 3" xfId="24600"/>
    <cellStyle name="表体数字3位(小) 42 3 2" xfId="24604"/>
    <cellStyle name="表体数字3位(小) 42 3 3" xfId="24608"/>
    <cellStyle name="表体数字3位(小) 42 3 4" xfId="24612"/>
    <cellStyle name="表体数字3位(小) 42 3 5" xfId="24616"/>
    <cellStyle name="表体数字3位(小) 42 3 6" xfId="24620"/>
    <cellStyle name="表体数字3位(小) 42 3 7" xfId="24624"/>
    <cellStyle name="表体数字3位(小) 42 3 8" xfId="24628"/>
    <cellStyle name="表体数字3位(小) 42 4" xfId="24632"/>
    <cellStyle name="表体数字3位(小) 42 5" xfId="24636"/>
    <cellStyle name="表体数字3位(小) 42 6" xfId="24640"/>
    <cellStyle name="表体数字3位(小) 42 7" xfId="24644"/>
    <cellStyle name="表体数字3位(小) 42 8" xfId="24648"/>
    <cellStyle name="表体数字3位(小) 42 9" xfId="24652"/>
    <cellStyle name="表体数字3位(小) 43" xfId="3063"/>
    <cellStyle name="表体数字3位(小) 43 10" xfId="24656"/>
    <cellStyle name="表体数字3位(小) 43 2" xfId="24658"/>
    <cellStyle name="表体数字3位(小) 43 2 2" xfId="24662"/>
    <cellStyle name="表体数字3位(小) 43 2 3" xfId="24665"/>
    <cellStyle name="表体数字3位(小) 43 2 4" xfId="24668"/>
    <cellStyle name="表体数字3位(小) 43 2 5" xfId="24671"/>
    <cellStyle name="表体数字3位(小) 43 2 6" xfId="24674"/>
    <cellStyle name="表体数字3位(小) 43 2 7" xfId="24677"/>
    <cellStyle name="表体数字3位(小) 43 2 8" xfId="24680"/>
    <cellStyle name="表体数字3位(小) 43 3" xfId="24683"/>
    <cellStyle name="表体数字3位(小) 43 3 2" xfId="3020"/>
    <cellStyle name="表体数字3位(小) 43 3 3" xfId="24687"/>
    <cellStyle name="表体数字3位(小) 43 3 4" xfId="24690"/>
    <cellStyle name="表体数字3位(小) 43 3 5" xfId="24693"/>
    <cellStyle name="表体数字3位(小) 43 3 6" xfId="24696"/>
    <cellStyle name="表体数字3位(小) 43 3 7" xfId="24699"/>
    <cellStyle name="表体数字3位(小) 43 3 8" xfId="24702"/>
    <cellStyle name="表体数字3位(小) 43 4" xfId="24705"/>
    <cellStyle name="表体数字3位(小) 43 5" xfId="24709"/>
    <cellStyle name="表体数字3位(小) 43 6" xfId="24713"/>
    <cellStyle name="表体数字3位(小) 43 7" xfId="24716"/>
    <cellStyle name="表体数字3位(小) 43 8" xfId="24718"/>
    <cellStyle name="表体数字3位(小) 43 9" xfId="24720"/>
    <cellStyle name="表体数字3位(小) 44" xfId="3066"/>
    <cellStyle name="表体数字3位(小) 44 10" xfId="9068"/>
    <cellStyle name="表体数字3位(小) 44 2" xfId="24722"/>
    <cellStyle name="表体数字3位(小) 44 2 2" xfId="24724"/>
    <cellStyle name="表体数字3位(小) 44 2 3" xfId="24726"/>
    <cellStyle name="表体数字3位(小) 44 2 4" xfId="24728"/>
    <cellStyle name="表体数字3位(小) 44 2 5" xfId="24730"/>
    <cellStyle name="表体数字3位(小) 44 2 6" xfId="24732"/>
    <cellStyle name="表体数字3位(小) 44 2 7" xfId="24734"/>
    <cellStyle name="表体数字3位(小) 44 2 8" xfId="24736"/>
    <cellStyle name="表体数字3位(小) 44 3" xfId="24738"/>
    <cellStyle name="表体数字3位(小) 44 3 2" xfId="24741"/>
    <cellStyle name="表体数字3位(小) 44 3 3" xfId="24743"/>
    <cellStyle name="表体数字3位(小) 44 3 4" xfId="24745"/>
    <cellStyle name="表体数字3位(小) 44 3 5" xfId="24747"/>
    <cellStyle name="表体数字3位(小) 44 3 6" xfId="24749"/>
    <cellStyle name="表体数字3位(小) 44 3 7" xfId="24751"/>
    <cellStyle name="表体数字3位(小) 44 3 8" xfId="24753"/>
    <cellStyle name="表体数字3位(小) 44 4" xfId="24755"/>
    <cellStyle name="表体数字3位(小) 44 5" xfId="24757"/>
    <cellStyle name="表体数字3位(小) 44 6" xfId="24759"/>
    <cellStyle name="表体数字3位(小) 44 7" xfId="1635"/>
    <cellStyle name="表体数字3位(小) 44 8" xfId="1638"/>
    <cellStyle name="表体数字3位(小) 44 9" xfId="24761"/>
    <cellStyle name="表体数字3位(小) 45" xfId="24772"/>
    <cellStyle name="表体数字3位(小) 45 10" xfId="21363"/>
    <cellStyle name="表体数字3位(小) 45 2" xfId="24774"/>
    <cellStyle name="表体数字3位(小) 45 2 2" xfId="24776"/>
    <cellStyle name="表体数字3位(小) 45 2 3" xfId="24779"/>
    <cellStyle name="表体数字3位(小) 45 2 4" xfId="24782"/>
    <cellStyle name="表体数字3位(小) 45 2 5" xfId="24785"/>
    <cellStyle name="表体数字3位(小) 45 2 6" xfId="24788"/>
    <cellStyle name="表体数字3位(小) 45 2 7" xfId="20877"/>
    <cellStyle name="表体数字3位(小) 45 2 8" xfId="20898"/>
    <cellStyle name="表体数字3位(小) 45 3" xfId="24791"/>
    <cellStyle name="表体数字3位(小) 45 3 2" xfId="24793"/>
    <cellStyle name="表体数字3位(小) 45 3 3" xfId="24796"/>
    <cellStyle name="表体数字3位(小) 45 3 4" xfId="24799"/>
    <cellStyle name="表体数字3位(小) 45 3 5" xfId="24802"/>
    <cellStyle name="表体数字3位(小) 45 3 6" xfId="24805"/>
    <cellStyle name="表体数字3位(小) 45 3 7" xfId="20934"/>
    <cellStyle name="表体数字3位(小) 45 3 8" xfId="20949"/>
    <cellStyle name="表体数字3位(小) 45 4" xfId="24808"/>
    <cellStyle name="表体数字3位(小) 45 5" xfId="24810"/>
    <cellStyle name="表体数字3位(小) 45 6" xfId="24812"/>
    <cellStyle name="表体数字3位(小) 45 7" xfId="1642"/>
    <cellStyle name="表体数字3位(小) 45 8" xfId="1227"/>
    <cellStyle name="表体数字3位(小) 45 9" xfId="24814"/>
    <cellStyle name="表体数字3位(小) 46" xfId="24816"/>
    <cellStyle name="表体数字3位(小) 46 10" xfId="24818"/>
    <cellStyle name="表体数字3位(小) 46 2" xfId="24820"/>
    <cellStyle name="表体数字3位(小) 46 2 2" xfId="24822"/>
    <cellStyle name="表体数字3位(小) 46 2 3" xfId="24824"/>
    <cellStyle name="表体数字3位(小) 46 2 4" xfId="24826"/>
    <cellStyle name="表体数字3位(小) 46 2 5" xfId="22620"/>
    <cellStyle name="表体数字3位(小) 46 2 6" xfId="22626"/>
    <cellStyle name="表体数字3位(小) 46 2 7" xfId="22632"/>
    <cellStyle name="表体数字3位(小) 46 2 8" xfId="22635"/>
    <cellStyle name="表体数字3位(小) 46 3" xfId="24828"/>
    <cellStyle name="表体数字3位(小) 46 3 2" xfId="24830"/>
    <cellStyle name="表体数字3位(小) 46 3 3" xfId="24832"/>
    <cellStyle name="表体数字3位(小) 46 3 4" xfId="24834"/>
    <cellStyle name="表体数字3位(小) 46 3 5" xfId="22641"/>
    <cellStyle name="表体数字3位(小) 46 3 6" xfId="22647"/>
    <cellStyle name="表体数字3位(小) 46 3 7" xfId="22661"/>
    <cellStyle name="表体数字3位(小) 46 3 8" xfId="22664"/>
    <cellStyle name="表体数字3位(小) 46 4" xfId="24836"/>
    <cellStyle name="表体数字3位(小) 46 5" xfId="24838"/>
    <cellStyle name="表体数字3位(小) 46 6" xfId="24840"/>
    <cellStyle name="表体数字3位(小) 46 7" xfId="1650"/>
    <cellStyle name="表体数字3位(小) 46 8" xfId="1654"/>
    <cellStyle name="表体数字3位(小) 46 9" xfId="24842"/>
    <cellStyle name="表体数字3位(小) 47" xfId="5081"/>
    <cellStyle name="表体数字3位(小) 47 10" xfId="24844"/>
    <cellStyle name="表体数字3位(小) 47 2" xfId="24848"/>
    <cellStyle name="表体数字3位(小) 47 2 2" xfId="24851"/>
    <cellStyle name="表体数字3位(小) 47 2 3" xfId="24853"/>
    <cellStyle name="表体数字3位(小) 47 2 4" xfId="24855"/>
    <cellStyle name="表体数字3位(小) 47 2 5" xfId="24857"/>
    <cellStyle name="表体数字3位(小) 47 2 6" xfId="24861"/>
    <cellStyle name="表体数字3位(小) 47 2 7" xfId="24865"/>
    <cellStyle name="表体数字3位(小) 47 2 8" xfId="24869"/>
    <cellStyle name="表体数字3位(小) 47 3" xfId="24873"/>
    <cellStyle name="表体数字3位(小) 47 3 2" xfId="24876"/>
    <cellStyle name="表体数字3位(小) 47 3 3" xfId="24878"/>
    <cellStyle name="表体数字3位(小) 47 3 4" xfId="24880"/>
    <cellStyle name="表体数字3位(小) 47 3 5" xfId="24882"/>
    <cellStyle name="表体数字3位(小) 47 3 6" xfId="24886"/>
    <cellStyle name="表体数字3位(小) 47 3 7" xfId="24890"/>
    <cellStyle name="表体数字3位(小) 47 3 8" xfId="24894"/>
    <cellStyle name="表体数字3位(小) 47 4" xfId="24898"/>
    <cellStyle name="表体数字3位(小) 47 5" xfId="24901"/>
    <cellStyle name="表体数字3位(小) 47 6" xfId="24904"/>
    <cellStyle name="表体数字3位(小) 47 7" xfId="1664"/>
    <cellStyle name="表体数字3位(小) 47 8" xfId="1667"/>
    <cellStyle name="表体数字3位(小) 47 9" xfId="24907"/>
    <cellStyle name="表体数字3位(小) 48" xfId="5085"/>
    <cellStyle name="表体数字3位(小) 48 10" xfId="24909"/>
    <cellStyle name="表体数字3位(小) 48 2" xfId="24911"/>
    <cellStyle name="表体数字3位(小) 48 2 2" xfId="24914"/>
    <cellStyle name="表体数字3位(小) 48 2 3" xfId="24916"/>
    <cellStyle name="表体数字3位(小) 48 2 4" xfId="24918"/>
    <cellStyle name="表体数字3位(小) 48 2 5" xfId="24920"/>
    <cellStyle name="表体数字3位(小) 48 2 6" xfId="24922"/>
    <cellStyle name="表体数字3位(小) 48 2 7" xfId="24924"/>
    <cellStyle name="表体数字3位(小) 48 2 8" xfId="24926"/>
    <cellStyle name="表体数字3位(小) 48 3" xfId="24928"/>
    <cellStyle name="表体数字3位(小) 48 3 2" xfId="24931"/>
    <cellStyle name="表体数字3位(小) 48 3 3" xfId="24933"/>
    <cellStyle name="表体数字3位(小) 48 3 4" xfId="24935"/>
    <cellStyle name="表体数字3位(小) 48 3 5" xfId="24937"/>
    <cellStyle name="表体数字3位(小) 48 3 6" xfId="24939"/>
    <cellStyle name="表体数字3位(小) 48 3 7" xfId="24941"/>
    <cellStyle name="表体数字3位(小) 48 3 8" xfId="24943"/>
    <cellStyle name="表体数字3位(小) 48 4" xfId="24945"/>
    <cellStyle name="表体数字3位(小) 48 5" xfId="24948"/>
    <cellStyle name="表体数字3位(小) 48 6" xfId="24951"/>
    <cellStyle name="表体数字3位(小) 48 7" xfId="1678"/>
    <cellStyle name="表体数字3位(小) 48 8" xfId="159"/>
    <cellStyle name="表体数字3位(小) 48 9" xfId="24954"/>
    <cellStyle name="表体数字3位(小) 49" xfId="24956"/>
    <cellStyle name="表体数字3位(小) 49 10" xfId="20036"/>
    <cellStyle name="表体数字3位(小) 49 2" xfId="22952"/>
    <cellStyle name="表体数字3位(小) 49 2 2" xfId="24958"/>
    <cellStyle name="表体数字3位(小) 49 2 3" xfId="24960"/>
    <cellStyle name="表体数字3位(小) 49 2 4" xfId="24962"/>
    <cellStyle name="表体数字3位(小) 49 2 5" xfId="24964"/>
    <cellStyle name="表体数字3位(小) 49 2 6" xfId="24966"/>
    <cellStyle name="表体数字3位(小) 49 2 7" xfId="24968"/>
    <cellStyle name="表体数字3位(小) 49 2 8" xfId="24970"/>
    <cellStyle name="表体数字3位(小) 49 3" xfId="22955"/>
    <cellStyle name="表体数字3位(小) 49 3 2" xfId="24972"/>
    <cellStyle name="表体数字3位(小) 49 3 3" xfId="24974"/>
    <cellStyle name="表体数字3位(小) 49 3 4" xfId="24976"/>
    <cellStyle name="表体数字3位(小) 49 3 5" xfId="24978"/>
    <cellStyle name="表体数字3位(小) 49 3 6" xfId="24980"/>
    <cellStyle name="表体数字3位(小) 49 3 7" xfId="24982"/>
    <cellStyle name="表体数字3位(小) 49 3 8" xfId="24984"/>
    <cellStyle name="表体数字3位(小) 49 4" xfId="22959"/>
    <cellStyle name="表体数字3位(小) 49 5" xfId="22962"/>
    <cellStyle name="表体数字3位(小) 49 6" xfId="22965"/>
    <cellStyle name="表体数字3位(小) 49 7" xfId="1684"/>
    <cellStyle name="表体数字3位(小) 49 8" xfId="1688"/>
    <cellStyle name="表体数字3位(小) 49 9" xfId="24986"/>
    <cellStyle name="表体数字3位(小) 5" xfId="11647"/>
    <cellStyle name="表体数字3位(小) 5 10" xfId="4625"/>
    <cellStyle name="表体数字3位(小) 5 2" xfId="24988"/>
    <cellStyle name="表体数字3位(小) 5 2 2" xfId="12792"/>
    <cellStyle name="表体数字3位(小) 5 2 3" xfId="12794"/>
    <cellStyle name="表体数字3位(小) 5 2 4" xfId="12796"/>
    <cellStyle name="表体数字3位(小) 5 2 5" xfId="12798"/>
    <cellStyle name="表体数字3位(小) 5 2 6" xfId="12800"/>
    <cellStyle name="表体数字3位(小) 5 2 7" xfId="12802"/>
    <cellStyle name="表体数字3位(小) 5 2 8" xfId="24989"/>
    <cellStyle name="表体数字3位(小) 5 3" xfId="24990"/>
    <cellStyle name="表体数字3位(小) 5 3 2" xfId="24992"/>
    <cellStyle name="表体数字3位(小) 5 3 3" xfId="24993"/>
    <cellStyle name="表体数字3位(小) 5 3 4" xfId="24994"/>
    <cellStyle name="表体数字3位(小) 5 3 5" xfId="24995"/>
    <cellStyle name="表体数字3位(小) 5 3 6" xfId="24996"/>
    <cellStyle name="表体数字3位(小) 5 3 7" xfId="24997"/>
    <cellStyle name="表体数字3位(小) 5 3 8" xfId="24998"/>
    <cellStyle name="表体数字3位(小) 5 4" xfId="24999"/>
    <cellStyle name="表体数字3位(小) 5 5" xfId="22365"/>
    <cellStyle name="表体数字3位(小) 5 6" xfId="22370"/>
    <cellStyle name="表体数字3位(小) 5 7" xfId="22375"/>
    <cellStyle name="表体数字3位(小) 5 8" xfId="22380"/>
    <cellStyle name="表体数字3位(小) 5 9" xfId="22385"/>
    <cellStyle name="表体数字3位(小) 50" xfId="24773"/>
    <cellStyle name="表体数字3位(小) 50 10" xfId="21364"/>
    <cellStyle name="表体数字3位(小) 50 2" xfId="24775"/>
    <cellStyle name="表体数字3位(小) 50 2 2" xfId="24777"/>
    <cellStyle name="表体数字3位(小) 50 2 3" xfId="24780"/>
    <cellStyle name="表体数字3位(小) 50 2 4" xfId="24783"/>
    <cellStyle name="表体数字3位(小) 50 2 5" xfId="24786"/>
    <cellStyle name="表体数字3位(小) 50 2 6" xfId="24789"/>
    <cellStyle name="表体数字3位(小) 50 2 7" xfId="20878"/>
    <cellStyle name="表体数字3位(小) 50 2 8" xfId="20899"/>
    <cellStyle name="表体数字3位(小) 50 3" xfId="24792"/>
    <cellStyle name="表体数字3位(小) 50 3 2" xfId="24794"/>
    <cellStyle name="表体数字3位(小) 50 3 3" xfId="24797"/>
    <cellStyle name="表体数字3位(小) 50 3 4" xfId="24800"/>
    <cellStyle name="表体数字3位(小) 50 3 5" xfId="24803"/>
    <cellStyle name="表体数字3位(小) 50 3 6" xfId="24806"/>
    <cellStyle name="表体数字3位(小) 50 3 7" xfId="20935"/>
    <cellStyle name="表体数字3位(小) 50 3 8" xfId="20950"/>
    <cellStyle name="表体数字3位(小) 50 4" xfId="24809"/>
    <cellStyle name="表体数字3位(小) 50 5" xfId="24811"/>
    <cellStyle name="表体数字3位(小) 50 6" xfId="24813"/>
    <cellStyle name="表体数字3位(小) 50 7" xfId="1641"/>
    <cellStyle name="表体数字3位(小) 50 8" xfId="1226"/>
    <cellStyle name="表体数字3位(小) 50 9" xfId="24815"/>
    <cellStyle name="表体数字3位(小) 51" xfId="24817"/>
    <cellStyle name="表体数字3位(小) 51 10" xfId="24819"/>
    <cellStyle name="表体数字3位(小) 51 2" xfId="24821"/>
    <cellStyle name="表体数字3位(小) 51 2 2" xfId="24823"/>
    <cellStyle name="表体数字3位(小) 51 2 3" xfId="24825"/>
    <cellStyle name="表体数字3位(小) 51 2 4" xfId="24827"/>
    <cellStyle name="表体数字3位(小) 51 2 5" xfId="22621"/>
    <cellStyle name="表体数字3位(小) 51 2 6" xfId="22627"/>
    <cellStyle name="表体数字3位(小) 51 2 7" xfId="22633"/>
    <cellStyle name="表体数字3位(小) 51 2 8" xfId="22636"/>
    <cellStyle name="表体数字3位(小) 51 3" xfId="24829"/>
    <cellStyle name="表体数字3位(小) 51 3 2" xfId="24831"/>
    <cellStyle name="表体数字3位(小) 51 3 3" xfId="24833"/>
    <cellStyle name="表体数字3位(小) 51 3 4" xfId="24835"/>
    <cellStyle name="表体数字3位(小) 51 3 5" xfId="22642"/>
    <cellStyle name="表体数字3位(小) 51 3 6" xfId="22648"/>
    <cellStyle name="表体数字3位(小) 51 3 7" xfId="22662"/>
    <cellStyle name="表体数字3位(小) 51 3 8" xfId="22665"/>
    <cellStyle name="表体数字3位(小) 51 4" xfId="24837"/>
    <cellStyle name="表体数字3位(小) 51 5" xfId="24839"/>
    <cellStyle name="表体数字3位(小) 51 6" xfId="24841"/>
    <cellStyle name="表体数字3位(小) 51 7" xfId="1649"/>
    <cellStyle name="表体数字3位(小) 51 8" xfId="1653"/>
    <cellStyle name="表体数字3位(小) 51 9" xfId="24843"/>
    <cellStyle name="表体数字3位(小) 52" xfId="5082"/>
    <cellStyle name="表体数字3位(小) 52 10" xfId="24845"/>
    <cellStyle name="表体数字3位(小) 52 2" xfId="24849"/>
    <cellStyle name="表体数字3位(小) 52 2 2" xfId="24852"/>
    <cellStyle name="表体数字3位(小) 52 2 3" xfId="24854"/>
    <cellStyle name="表体数字3位(小) 52 2 4" xfId="24856"/>
    <cellStyle name="表体数字3位(小) 52 2 5" xfId="24858"/>
    <cellStyle name="表体数字3位(小) 52 2 6" xfId="24862"/>
    <cellStyle name="表体数字3位(小) 52 2 7" xfId="24866"/>
    <cellStyle name="表体数字3位(小) 52 2 8" xfId="24870"/>
    <cellStyle name="表体数字3位(小) 52 3" xfId="24874"/>
    <cellStyle name="表体数字3位(小) 52 3 2" xfId="24877"/>
    <cellStyle name="表体数字3位(小) 52 3 3" xfId="24879"/>
    <cellStyle name="表体数字3位(小) 52 3 4" xfId="24881"/>
    <cellStyle name="表体数字3位(小) 52 3 5" xfId="24883"/>
    <cellStyle name="表体数字3位(小) 52 3 6" xfId="24887"/>
    <cellStyle name="表体数字3位(小) 52 3 7" xfId="24891"/>
    <cellStyle name="表体数字3位(小) 52 3 8" xfId="24895"/>
    <cellStyle name="表体数字3位(小) 52 4" xfId="24899"/>
    <cellStyle name="表体数字3位(小) 52 5" xfId="24902"/>
    <cellStyle name="表体数字3位(小) 52 6" xfId="24905"/>
    <cellStyle name="表体数字3位(小) 52 7" xfId="1663"/>
    <cellStyle name="表体数字3位(小) 52 8" xfId="1666"/>
    <cellStyle name="表体数字3位(小) 52 9" xfId="24908"/>
    <cellStyle name="表体数字3位(小) 53" xfId="5086"/>
    <cellStyle name="表体数字3位(小) 53 10" xfId="24910"/>
    <cellStyle name="表体数字3位(小) 53 2" xfId="24912"/>
    <cellStyle name="表体数字3位(小) 53 2 2" xfId="24915"/>
    <cellStyle name="表体数字3位(小) 53 2 3" xfId="24917"/>
    <cellStyle name="表体数字3位(小) 53 2 4" xfId="24919"/>
    <cellStyle name="表体数字3位(小) 53 2 5" xfId="24921"/>
    <cellStyle name="表体数字3位(小) 53 2 6" xfId="24923"/>
    <cellStyle name="表体数字3位(小) 53 2 7" xfId="24925"/>
    <cellStyle name="表体数字3位(小) 53 2 8" xfId="24927"/>
    <cellStyle name="表体数字3位(小) 53 3" xfId="24929"/>
    <cellStyle name="表体数字3位(小) 53 3 2" xfId="24932"/>
    <cellStyle name="表体数字3位(小) 53 3 3" xfId="24934"/>
    <cellStyle name="表体数字3位(小) 53 3 4" xfId="24936"/>
    <cellStyle name="表体数字3位(小) 53 3 5" xfId="24938"/>
    <cellStyle name="表体数字3位(小) 53 3 6" xfId="24940"/>
    <cellStyle name="表体数字3位(小) 53 3 7" xfId="24942"/>
    <cellStyle name="表体数字3位(小) 53 3 8" xfId="24944"/>
    <cellStyle name="表体数字3位(小) 53 4" xfId="24946"/>
    <cellStyle name="表体数字3位(小) 53 5" xfId="24949"/>
    <cellStyle name="表体数字3位(小) 53 6" xfId="24952"/>
    <cellStyle name="表体数字3位(小) 53 7" xfId="1677"/>
    <cellStyle name="表体数字3位(小) 53 8" xfId="160"/>
    <cellStyle name="表体数字3位(小) 53 9" xfId="24955"/>
    <cellStyle name="表体数字3位(小) 54" xfId="24957"/>
    <cellStyle name="表体数字3位(小) 54 10" xfId="20037"/>
    <cellStyle name="表体数字3位(小) 54 2" xfId="22953"/>
    <cellStyle name="表体数字3位(小) 54 2 2" xfId="24959"/>
    <cellStyle name="表体数字3位(小) 54 2 3" xfId="24961"/>
    <cellStyle name="表体数字3位(小) 54 2 4" xfId="24963"/>
    <cellStyle name="表体数字3位(小) 54 2 5" xfId="24965"/>
    <cellStyle name="表体数字3位(小) 54 2 6" xfId="24967"/>
    <cellStyle name="表体数字3位(小) 54 2 7" xfId="24969"/>
    <cellStyle name="表体数字3位(小) 54 2 8" xfId="24971"/>
    <cellStyle name="表体数字3位(小) 54 3" xfId="22956"/>
    <cellStyle name="表体数字3位(小) 54 3 2" xfId="24973"/>
    <cellStyle name="表体数字3位(小) 54 3 3" xfId="24975"/>
    <cellStyle name="表体数字3位(小) 54 3 4" xfId="24977"/>
    <cellStyle name="表体数字3位(小) 54 3 5" xfId="24979"/>
    <cellStyle name="表体数字3位(小) 54 3 6" xfId="24981"/>
    <cellStyle name="表体数字3位(小) 54 3 7" xfId="24983"/>
    <cellStyle name="表体数字3位(小) 54 3 8" xfId="24985"/>
    <cellStyle name="表体数字3位(小) 54 4" xfId="22960"/>
    <cellStyle name="表体数字3位(小) 54 5" xfId="22963"/>
    <cellStyle name="表体数字3位(小) 54 6" xfId="22966"/>
    <cellStyle name="表体数字3位(小) 54 7" xfId="1683"/>
    <cellStyle name="表体数字3位(小) 54 8" xfId="1687"/>
    <cellStyle name="表体数字3位(小) 54 9" xfId="24987"/>
    <cellStyle name="表体数字3位(小) 55" xfId="25000"/>
    <cellStyle name="表体数字3位(小) 55 10" xfId="25002"/>
    <cellStyle name="表体数字3位(小) 55 2" xfId="22970"/>
    <cellStyle name="表体数字3位(小) 55 2 2" xfId="25004"/>
    <cellStyle name="表体数字3位(小) 55 2 3" xfId="7092"/>
    <cellStyle name="表体数字3位(小) 55 2 4" xfId="7095"/>
    <cellStyle name="表体数字3位(小) 55 2 5" xfId="6536"/>
    <cellStyle name="表体数字3位(小) 55 2 6" xfId="6541"/>
    <cellStyle name="表体数字3位(小) 55 2 7" xfId="7098"/>
    <cellStyle name="表体数字3位(小) 55 2 8" xfId="7101"/>
    <cellStyle name="表体数字3位(小) 55 3" xfId="22973"/>
    <cellStyle name="表体数字3位(小) 55 3 2" xfId="25006"/>
    <cellStyle name="表体数字3位(小) 55 3 3" xfId="7105"/>
    <cellStyle name="表体数字3位(小) 55 3 4" xfId="7108"/>
    <cellStyle name="表体数字3位(小) 55 3 5" xfId="7111"/>
    <cellStyle name="表体数字3位(小) 55 3 6" xfId="7114"/>
    <cellStyle name="表体数字3位(小) 55 3 7" xfId="6803"/>
    <cellStyle name="表体数字3位(小) 55 3 8" xfId="6684"/>
    <cellStyle name="表体数字3位(小) 55 4" xfId="22976"/>
    <cellStyle name="表体数字3位(小) 55 5" xfId="22979"/>
    <cellStyle name="表体数字3位(小) 55 6" xfId="22982"/>
    <cellStyle name="表体数字3位(小) 55 7" xfId="22985"/>
    <cellStyle name="表体数字3位(小) 55 8" xfId="25008"/>
    <cellStyle name="表体数字3位(小) 55 9" xfId="25010"/>
    <cellStyle name="表体数字3位(小) 56" xfId="25012"/>
    <cellStyle name="表体数字3位(小) 56 10" xfId="25014"/>
    <cellStyle name="表体数字3位(小) 56 2" xfId="25016"/>
    <cellStyle name="表体数字3位(小) 56 2 2" xfId="25018"/>
    <cellStyle name="表体数字3位(小) 56 2 3" xfId="25020"/>
    <cellStyle name="表体数字3位(小) 56 2 4" xfId="11539"/>
    <cellStyle name="表体数字3位(小) 56 2 5" xfId="11542"/>
    <cellStyle name="表体数字3位(小) 56 2 6" xfId="25022"/>
    <cellStyle name="表体数字3位(小) 56 2 7" xfId="25024"/>
    <cellStyle name="表体数字3位(小) 56 2 8" xfId="25026"/>
    <cellStyle name="表体数字3位(小) 56 3" xfId="25028"/>
    <cellStyle name="表体数字3位(小) 56 3 2" xfId="25030"/>
    <cellStyle name="表体数字3位(小) 56 3 3" xfId="25032"/>
    <cellStyle name="表体数字3位(小) 56 3 4" xfId="11550"/>
    <cellStyle name="表体数字3位(小) 56 3 5" xfId="11554"/>
    <cellStyle name="表体数字3位(小) 56 3 6" xfId="25034"/>
    <cellStyle name="表体数字3位(小) 56 3 7" xfId="25036"/>
    <cellStyle name="表体数字3位(小) 56 3 8" xfId="25038"/>
    <cellStyle name="表体数字3位(小) 56 4" xfId="25041"/>
    <cellStyle name="表体数字3位(小) 56 5" xfId="25043"/>
    <cellStyle name="表体数字3位(小) 56 6" xfId="25045"/>
    <cellStyle name="表体数字3位(小) 56 7" xfId="8367"/>
    <cellStyle name="表体数字3位(小) 56 8" xfId="8372"/>
    <cellStyle name="表体数字3位(小) 56 9" xfId="25047"/>
    <cellStyle name="表体数字3位(小) 57" xfId="25049"/>
    <cellStyle name="表体数字3位(小) 57 10" xfId="25051"/>
    <cellStyle name="表体数字3位(小) 57 2" xfId="24859"/>
    <cellStyle name="表体数字3位(小) 57 2 2" xfId="25054"/>
    <cellStyle name="表体数字3位(小) 57 2 3" xfId="25056"/>
    <cellStyle name="表体数字3位(小) 57 2 4" xfId="25058"/>
    <cellStyle name="表体数字3位(小) 57 2 5" xfId="25060"/>
    <cellStyle name="表体数字3位(小) 57 2 6" xfId="25062"/>
    <cellStyle name="表体数字3位(小) 57 2 7" xfId="25064"/>
    <cellStyle name="表体数字3位(小) 57 2 8" xfId="25066"/>
    <cellStyle name="表体数字3位(小) 57 3" xfId="24863"/>
    <cellStyle name="表体数字3位(小) 57 3 2" xfId="25068"/>
    <cellStyle name="表体数字3位(小) 57 3 3" xfId="25070"/>
    <cellStyle name="表体数字3位(小) 57 3 4" xfId="25072"/>
    <cellStyle name="表体数字3位(小) 57 3 5" xfId="25074"/>
    <cellStyle name="表体数字3位(小) 57 3 6" xfId="25076"/>
    <cellStyle name="表体数字3位(小) 57 3 7" xfId="25078"/>
    <cellStyle name="表体数字3位(小) 57 3 8" xfId="25080"/>
    <cellStyle name="表体数字3位(小) 57 4" xfId="24867"/>
    <cellStyle name="表体数字3位(小) 57 5" xfId="24871"/>
    <cellStyle name="表体数字3位(小) 57 6" xfId="25083"/>
    <cellStyle name="表体数字3位(小) 57 7" xfId="8378"/>
    <cellStyle name="表体数字3位(小) 57 8" xfId="8383"/>
    <cellStyle name="表体数字3位(小) 57 9" xfId="25085"/>
    <cellStyle name="表体数字3位(小) 58" xfId="25087"/>
    <cellStyle name="表体数字3位(小) 58 10" xfId="25089"/>
    <cellStyle name="表体数字3位(小) 58 2" xfId="24884"/>
    <cellStyle name="表体数字3位(小) 58 2 2" xfId="25091"/>
    <cellStyle name="表体数字3位(小) 58 2 3" xfId="25093"/>
    <cellStyle name="表体数字3位(小) 58 2 4" xfId="25095"/>
    <cellStyle name="表体数字3位(小) 58 2 5" xfId="25098"/>
    <cellStyle name="表体数字3位(小) 58 2 6" xfId="25101"/>
    <cellStyle name="表体数字3位(小) 58 2 7" xfId="25104"/>
    <cellStyle name="表体数字3位(小) 58 2 8" xfId="25107"/>
    <cellStyle name="表体数字3位(小) 58 3" xfId="24888"/>
    <cellStyle name="表体数字3位(小) 58 3 2" xfId="25110"/>
    <cellStyle name="表体数字3位(小) 58 3 3" xfId="25112"/>
    <cellStyle name="表体数字3位(小) 58 3 4" xfId="25114"/>
    <cellStyle name="表体数字3位(小) 58 3 5" xfId="25117"/>
    <cellStyle name="表体数字3位(小) 58 3 6" xfId="25120"/>
    <cellStyle name="表体数字3位(小) 58 3 7" xfId="25123"/>
    <cellStyle name="表体数字3位(小) 58 3 8" xfId="25126"/>
    <cellStyle name="表体数字3位(小) 58 4" xfId="24892"/>
    <cellStyle name="表体数字3位(小) 58 5" xfId="24896"/>
    <cellStyle name="表体数字3位(小) 58 6" xfId="25130"/>
    <cellStyle name="表体数字3位(小) 58 7" xfId="8389"/>
    <cellStyle name="表体数字3位(小) 58 8" xfId="8394"/>
    <cellStyle name="表体数字3位(小) 58 9" xfId="25132"/>
    <cellStyle name="表体数字3位(小) 59" xfId="25134"/>
    <cellStyle name="表体数字3位(小) 59 10" xfId="20101"/>
    <cellStyle name="表体数字3位(小) 59 2" xfId="15040"/>
    <cellStyle name="表体数字3位(小) 59 2 2" xfId="25136"/>
    <cellStyle name="表体数字3位(小) 59 2 3" xfId="25138"/>
    <cellStyle name="表体数字3位(小) 59 2 4" xfId="25140"/>
    <cellStyle name="表体数字3位(小) 59 2 5" xfId="4206"/>
    <cellStyle name="表体数字3位(小) 59 2 6" xfId="4211"/>
    <cellStyle name="表体数字3位(小) 59 2 7" xfId="25142"/>
    <cellStyle name="表体数字3位(小) 59 2 8" xfId="25144"/>
    <cellStyle name="表体数字3位(小) 59 3" xfId="15045"/>
    <cellStyle name="表体数字3位(小) 59 3 2" xfId="25146"/>
    <cellStyle name="表体数字3位(小) 59 3 3" xfId="25148"/>
    <cellStyle name="表体数字3位(小) 59 3 4" xfId="25150"/>
    <cellStyle name="表体数字3位(小) 59 3 5" xfId="3662"/>
    <cellStyle name="表体数字3位(小) 59 3 6" xfId="3670"/>
    <cellStyle name="表体数字3位(小) 59 3 7" xfId="25152"/>
    <cellStyle name="表体数字3位(小) 59 3 8" xfId="25154"/>
    <cellStyle name="表体数字3位(小) 59 4" xfId="15051"/>
    <cellStyle name="表体数字3位(小) 59 5" xfId="25157"/>
    <cellStyle name="表体数字3位(小) 59 6" xfId="25162"/>
    <cellStyle name="表体数字3位(小) 59 7" xfId="8400"/>
    <cellStyle name="表体数字3位(小) 59 8" xfId="8408"/>
    <cellStyle name="表体数字3位(小) 59 9" xfId="25167"/>
    <cellStyle name="表体数字3位(小) 6" xfId="11649"/>
    <cellStyle name="表体数字3位(小) 6 10" xfId="25171"/>
    <cellStyle name="表体数字3位(小) 6 2" xfId="25172"/>
    <cellStyle name="表体数字3位(小) 6 2 2" xfId="25173"/>
    <cellStyle name="表体数字3位(小) 6 2 3" xfId="25174"/>
    <cellStyle name="表体数字3位(小) 6 2 4" xfId="25175"/>
    <cellStyle name="表体数字3位(小) 6 2 5" xfId="25176"/>
    <cellStyle name="表体数字3位(小) 6 2 6" xfId="25177"/>
    <cellStyle name="表体数字3位(小) 6 2 7" xfId="25178"/>
    <cellStyle name="表体数字3位(小) 6 2 8" xfId="25179"/>
    <cellStyle name="表体数字3位(小) 6 3" xfId="25180"/>
    <cellStyle name="表体数字3位(小) 6 3 2" xfId="25181"/>
    <cellStyle name="表体数字3位(小) 6 3 3" xfId="25182"/>
    <cellStyle name="表体数字3位(小) 6 3 4" xfId="25183"/>
    <cellStyle name="表体数字3位(小) 6 3 5" xfId="25184"/>
    <cellStyle name="表体数字3位(小) 6 3 6" xfId="25185"/>
    <cellStyle name="表体数字3位(小) 6 3 7" xfId="25186"/>
    <cellStyle name="表体数字3位(小) 6 3 8" xfId="25187"/>
    <cellStyle name="表体数字3位(小) 6 4" xfId="25188"/>
    <cellStyle name="表体数字3位(小) 6 5" xfId="25189"/>
    <cellStyle name="表体数字3位(小) 6 6" xfId="25190"/>
    <cellStyle name="表体数字3位(小) 6 7" xfId="25191"/>
    <cellStyle name="表体数字3位(小) 6 8" xfId="25192"/>
    <cellStyle name="表体数字3位(小) 6 9" xfId="25193"/>
    <cellStyle name="表体数字3位(小) 60" xfId="25001"/>
    <cellStyle name="表体数字3位(小) 60 10" xfId="25003"/>
    <cellStyle name="表体数字3位(小) 60 2" xfId="22971"/>
    <cellStyle name="表体数字3位(小) 60 2 2" xfId="25005"/>
    <cellStyle name="表体数字3位(小) 60 2 3" xfId="7093"/>
    <cellStyle name="表体数字3位(小) 60 2 4" xfId="7096"/>
    <cellStyle name="表体数字3位(小) 60 2 5" xfId="6537"/>
    <cellStyle name="表体数字3位(小) 60 2 6" xfId="6542"/>
    <cellStyle name="表体数字3位(小) 60 2 7" xfId="7099"/>
    <cellStyle name="表体数字3位(小) 60 2 8" xfId="7102"/>
    <cellStyle name="表体数字3位(小) 60 3" xfId="22974"/>
    <cellStyle name="表体数字3位(小) 60 3 2" xfId="25007"/>
    <cellStyle name="表体数字3位(小) 60 3 3" xfId="7106"/>
    <cellStyle name="表体数字3位(小) 60 3 4" xfId="7109"/>
    <cellStyle name="表体数字3位(小) 60 3 5" xfId="7112"/>
    <cellStyle name="表体数字3位(小) 60 3 6" xfId="7115"/>
    <cellStyle name="表体数字3位(小) 60 3 7" xfId="6804"/>
    <cellStyle name="表体数字3位(小) 60 3 8" xfId="6685"/>
    <cellStyle name="表体数字3位(小) 60 4" xfId="22977"/>
    <cellStyle name="表体数字3位(小) 60 5" xfId="22980"/>
    <cellStyle name="表体数字3位(小) 60 6" xfId="22983"/>
    <cellStyle name="表体数字3位(小) 60 7" xfId="22986"/>
    <cellStyle name="表体数字3位(小) 60 8" xfId="25009"/>
    <cellStyle name="表体数字3位(小) 60 9" xfId="25011"/>
    <cellStyle name="表体数字3位(小) 61" xfId="25013"/>
    <cellStyle name="表体数字3位(小) 61 10" xfId="25015"/>
    <cellStyle name="表体数字3位(小) 61 2" xfId="25017"/>
    <cellStyle name="表体数字3位(小) 61 2 2" xfId="25019"/>
    <cellStyle name="表体数字3位(小) 61 2 3" xfId="25021"/>
    <cellStyle name="表体数字3位(小) 61 2 4" xfId="11540"/>
    <cellStyle name="表体数字3位(小) 61 2 5" xfId="11543"/>
    <cellStyle name="表体数字3位(小) 61 2 6" xfId="25023"/>
    <cellStyle name="表体数字3位(小) 61 2 7" xfId="25025"/>
    <cellStyle name="表体数字3位(小) 61 2 8" xfId="25027"/>
    <cellStyle name="表体数字3位(小) 61 3" xfId="25029"/>
    <cellStyle name="表体数字3位(小) 61 3 2" xfId="25031"/>
    <cellStyle name="表体数字3位(小) 61 3 3" xfId="25033"/>
    <cellStyle name="表体数字3位(小) 61 3 4" xfId="11551"/>
    <cellStyle name="表体数字3位(小) 61 3 5" xfId="11555"/>
    <cellStyle name="表体数字3位(小) 61 3 6" xfId="25035"/>
    <cellStyle name="表体数字3位(小) 61 3 7" xfId="25037"/>
    <cellStyle name="表体数字3位(小) 61 3 8" xfId="25039"/>
    <cellStyle name="表体数字3位(小) 61 4" xfId="25042"/>
    <cellStyle name="表体数字3位(小) 61 5" xfId="25044"/>
    <cellStyle name="表体数字3位(小) 61 6" xfId="25046"/>
    <cellStyle name="表体数字3位(小) 61 7" xfId="8368"/>
    <cellStyle name="表体数字3位(小) 61 8" xfId="8373"/>
    <cellStyle name="表体数字3位(小) 61 9" xfId="25048"/>
    <cellStyle name="表体数字3位(小) 62" xfId="25050"/>
    <cellStyle name="表体数字3位(小) 62 10" xfId="25052"/>
    <cellStyle name="表体数字3位(小) 62 2" xfId="24860"/>
    <cellStyle name="表体数字3位(小) 62 2 2" xfId="25055"/>
    <cellStyle name="表体数字3位(小) 62 2 3" xfId="25057"/>
    <cellStyle name="表体数字3位(小) 62 2 4" xfId="25059"/>
    <cellStyle name="表体数字3位(小) 62 2 5" xfId="25061"/>
    <cellStyle name="表体数字3位(小) 62 2 6" xfId="25063"/>
    <cellStyle name="表体数字3位(小) 62 2 7" xfId="25065"/>
    <cellStyle name="表体数字3位(小) 62 2 8" xfId="25067"/>
    <cellStyle name="表体数字3位(小) 62 3" xfId="24864"/>
    <cellStyle name="表体数字3位(小) 62 3 2" xfId="25069"/>
    <cellStyle name="表体数字3位(小) 62 3 3" xfId="25071"/>
    <cellStyle name="表体数字3位(小) 62 3 4" xfId="25073"/>
    <cellStyle name="表体数字3位(小) 62 3 5" xfId="25075"/>
    <cellStyle name="表体数字3位(小) 62 3 6" xfId="25077"/>
    <cellStyle name="表体数字3位(小) 62 3 7" xfId="25079"/>
    <cellStyle name="表体数字3位(小) 62 3 8" xfId="25081"/>
    <cellStyle name="表体数字3位(小) 62 4" xfId="24868"/>
    <cellStyle name="表体数字3位(小) 62 5" xfId="24872"/>
    <cellStyle name="表体数字3位(小) 62 6" xfId="25084"/>
    <cellStyle name="表体数字3位(小) 62 7" xfId="8379"/>
    <cellStyle name="表体数字3位(小) 62 8" xfId="8384"/>
    <cellStyle name="表体数字3位(小) 62 9" xfId="25086"/>
    <cellStyle name="表体数字3位(小) 63" xfId="25088"/>
    <cellStyle name="表体数字3位(小) 63 10" xfId="25090"/>
    <cellStyle name="表体数字3位(小) 63 2" xfId="24885"/>
    <cellStyle name="表体数字3位(小) 63 2 2" xfId="25092"/>
    <cellStyle name="表体数字3位(小) 63 2 3" xfId="25094"/>
    <cellStyle name="表体数字3位(小) 63 2 4" xfId="25096"/>
    <cellStyle name="表体数字3位(小) 63 2 5" xfId="25099"/>
    <cellStyle name="表体数字3位(小) 63 2 6" xfId="25102"/>
    <cellStyle name="表体数字3位(小) 63 2 7" xfId="25105"/>
    <cellStyle name="表体数字3位(小) 63 2 8" xfId="25108"/>
    <cellStyle name="表体数字3位(小) 63 3" xfId="24889"/>
    <cellStyle name="表体数字3位(小) 63 3 2" xfId="25111"/>
    <cellStyle name="表体数字3位(小) 63 3 3" xfId="25113"/>
    <cellStyle name="表体数字3位(小) 63 3 4" xfId="25115"/>
    <cellStyle name="表体数字3位(小) 63 3 5" xfId="25118"/>
    <cellStyle name="表体数字3位(小) 63 3 6" xfId="25121"/>
    <cellStyle name="表体数字3位(小) 63 3 7" xfId="25124"/>
    <cellStyle name="表体数字3位(小) 63 3 8" xfId="25127"/>
    <cellStyle name="表体数字3位(小) 63 4" xfId="24893"/>
    <cellStyle name="表体数字3位(小) 63 5" xfId="24897"/>
    <cellStyle name="表体数字3位(小) 63 6" xfId="25131"/>
    <cellStyle name="表体数字3位(小) 63 7" xfId="8390"/>
    <cellStyle name="表体数字3位(小) 63 8" xfId="8395"/>
    <cellStyle name="表体数字3位(小) 63 9" xfId="25133"/>
    <cellStyle name="表体数字3位(小) 64" xfId="25135"/>
    <cellStyle name="表体数字3位(小) 64 10" xfId="20102"/>
    <cellStyle name="表体数字3位(小) 64 2" xfId="15041"/>
    <cellStyle name="表体数字3位(小) 64 2 2" xfId="25137"/>
    <cellStyle name="表体数字3位(小) 64 2 3" xfId="25139"/>
    <cellStyle name="表体数字3位(小) 64 2 4" xfId="25141"/>
    <cellStyle name="表体数字3位(小) 64 2 5" xfId="4207"/>
    <cellStyle name="表体数字3位(小) 64 2 6" xfId="4212"/>
    <cellStyle name="表体数字3位(小) 64 2 7" xfId="25143"/>
    <cellStyle name="表体数字3位(小) 64 2 8" xfId="25145"/>
    <cellStyle name="表体数字3位(小) 64 3" xfId="15046"/>
    <cellStyle name="表体数字3位(小) 64 3 2" xfId="25147"/>
    <cellStyle name="表体数字3位(小) 64 3 3" xfId="25149"/>
    <cellStyle name="表体数字3位(小) 64 3 4" xfId="25151"/>
    <cellStyle name="表体数字3位(小) 64 3 5" xfId="3661"/>
    <cellStyle name="表体数字3位(小) 64 3 6" xfId="3669"/>
    <cellStyle name="表体数字3位(小) 64 3 7" xfId="25153"/>
    <cellStyle name="表体数字3位(小) 64 3 8" xfId="25155"/>
    <cellStyle name="表体数字3位(小) 64 4" xfId="15052"/>
    <cellStyle name="表体数字3位(小) 64 5" xfId="25158"/>
    <cellStyle name="表体数字3位(小) 64 6" xfId="25163"/>
    <cellStyle name="表体数字3位(小) 64 7" xfId="8401"/>
    <cellStyle name="表体数字3位(小) 64 8" xfId="8409"/>
    <cellStyle name="表体数字3位(小) 64 9" xfId="25168"/>
    <cellStyle name="表体数字3位(小) 65" xfId="25194"/>
    <cellStyle name="表体数字3位(小) 65 10" xfId="25196"/>
    <cellStyle name="表体数字3位(小) 65 2" xfId="15071"/>
    <cellStyle name="表体数字3位(小) 65 2 2" xfId="25197"/>
    <cellStyle name="表体数字3位(小) 65 2 3" xfId="25198"/>
    <cellStyle name="表体数字3位(小) 65 2 4" xfId="25199"/>
    <cellStyle name="表体数字3位(小) 65 2 5" xfId="25200"/>
    <cellStyle name="表体数字3位(小) 65 2 6" xfId="25201"/>
    <cellStyle name="表体数字3位(小) 65 2 7" xfId="25202"/>
    <cellStyle name="表体数字3位(小) 65 2 8" xfId="25203"/>
    <cellStyle name="表体数字3位(小) 65 3" xfId="15075"/>
    <cellStyle name="表体数字3位(小) 65 3 2" xfId="25204"/>
    <cellStyle name="表体数字3位(小) 65 3 3" xfId="25205"/>
    <cellStyle name="表体数字3位(小) 65 3 4" xfId="25206"/>
    <cellStyle name="表体数字3位(小) 65 3 5" xfId="25207"/>
    <cellStyle name="表体数字3位(小) 65 3 6" xfId="25208"/>
    <cellStyle name="表体数字3位(小) 65 3 7" xfId="25209"/>
    <cellStyle name="表体数字3位(小) 65 3 8" xfId="25210"/>
    <cellStyle name="表体数字3位(小) 65 4" xfId="15079"/>
    <cellStyle name="表体数字3位(小) 65 5" xfId="25212"/>
    <cellStyle name="表体数字3位(小) 65 6" xfId="25216"/>
    <cellStyle name="表体数字3位(小) 65 7" xfId="8416"/>
    <cellStyle name="表体数字3位(小) 65 8" xfId="8423"/>
    <cellStyle name="表体数字3位(小) 65 9" xfId="25220"/>
    <cellStyle name="表体数字3位(小) 66" xfId="25223"/>
    <cellStyle name="表体数字3位(小) 66 10" xfId="25225"/>
    <cellStyle name="表体数字3位(小) 66 2" xfId="25226"/>
    <cellStyle name="表体数字3位(小) 66 2 2" xfId="25227"/>
    <cellStyle name="表体数字3位(小) 66 2 3" xfId="25228"/>
    <cellStyle name="表体数字3位(小) 66 2 4" xfId="25229"/>
    <cellStyle name="表体数字3位(小) 66 2 5" xfId="25230"/>
    <cellStyle name="表体数字3位(小) 66 2 6" xfId="25231"/>
    <cellStyle name="表体数字3位(小) 66 2 7" xfId="25232"/>
    <cellStyle name="表体数字3位(小) 66 2 8" xfId="25233"/>
    <cellStyle name="表体数字3位(小) 66 3" xfId="25234"/>
    <cellStyle name="表体数字3位(小) 66 3 2" xfId="6795"/>
    <cellStyle name="表体数字3位(小) 66 3 3" xfId="6797"/>
    <cellStyle name="表体数字3位(小) 66 3 4" xfId="25235"/>
    <cellStyle name="表体数字3位(小) 66 3 5" xfId="25236"/>
    <cellStyle name="表体数字3位(小) 66 3 6" xfId="11979"/>
    <cellStyle name="表体数字3位(小) 66 3 7" xfId="11981"/>
    <cellStyle name="表体数字3位(小) 66 3 8" xfId="25237"/>
    <cellStyle name="表体数字3位(小) 66 4" xfId="25239"/>
    <cellStyle name="表体数字3位(小) 66 5" xfId="25240"/>
    <cellStyle name="表体数字3位(小) 66 6" xfId="25241"/>
    <cellStyle name="表体数字3位(小) 66 7" xfId="8430"/>
    <cellStyle name="表体数字3位(小) 66 8" xfId="8434"/>
    <cellStyle name="表体数字3位(小) 66 9" xfId="25242"/>
    <cellStyle name="表体数字3位(小) 67" xfId="25243"/>
    <cellStyle name="表体数字3位(小) 67 2" xfId="25245"/>
    <cellStyle name="表体数字3位(小) 67 3" xfId="25246"/>
    <cellStyle name="表体数字3位(小) 67 4" xfId="25247"/>
    <cellStyle name="表体数字3位(小) 67 5" xfId="25248"/>
    <cellStyle name="表体数字3位(小) 67 6" xfId="25249"/>
    <cellStyle name="表体数字3位(小) 67 7" xfId="8439"/>
    <cellStyle name="表体数字3位(小) 67 8" xfId="8443"/>
    <cellStyle name="表体数字3位(小) 68" xfId="25250"/>
    <cellStyle name="表体数字3位(小) 68 2" xfId="25252"/>
    <cellStyle name="表体数字3位(小) 68 3" xfId="25253"/>
    <cellStyle name="表体数字3位(小) 68 4" xfId="25254"/>
    <cellStyle name="表体数字3位(小) 68 5" xfId="25255"/>
    <cellStyle name="表体数字3位(小) 68 6" xfId="25256"/>
    <cellStyle name="表体数字3位(小) 68 7" xfId="8448"/>
    <cellStyle name="表体数字3位(小) 68 8" xfId="8452"/>
    <cellStyle name="表体数字3位(小) 69" xfId="25257"/>
    <cellStyle name="表体数字3位(小) 7" xfId="11651"/>
    <cellStyle name="表体数字3位(小) 7 10" xfId="25259"/>
    <cellStyle name="表体数字3位(小) 7 2" xfId="25262"/>
    <cellStyle name="表体数字3位(小) 7 2 2" xfId="25263"/>
    <cellStyle name="表体数字3位(小) 7 2 3" xfId="25264"/>
    <cellStyle name="表体数字3位(小) 7 2 4" xfId="25265"/>
    <cellStyle name="表体数字3位(小) 7 2 5" xfId="25266"/>
    <cellStyle name="表体数字3位(小) 7 2 6" xfId="25267"/>
    <cellStyle name="表体数字3位(小) 7 2 7" xfId="25268"/>
    <cellStyle name="表体数字3位(小) 7 2 8" xfId="25271"/>
    <cellStyle name="表体数字3位(小) 7 3" xfId="25274"/>
    <cellStyle name="表体数字3位(小) 7 3 2" xfId="25275"/>
    <cellStyle name="表体数字3位(小) 7 3 3" xfId="25276"/>
    <cellStyle name="表体数字3位(小) 7 3 4" xfId="25277"/>
    <cellStyle name="表体数字3位(小) 7 3 5" xfId="25278"/>
    <cellStyle name="表体数字3位(小) 7 3 6" xfId="25279"/>
    <cellStyle name="表体数字3位(小) 7 3 7" xfId="25280"/>
    <cellStyle name="表体数字3位(小) 7 3 8" xfId="25282"/>
    <cellStyle name="表体数字3位(小) 7 4" xfId="25284"/>
    <cellStyle name="表体数字3位(小) 7 5" xfId="25285"/>
    <cellStyle name="表体数字3位(小) 7 6" xfId="25286"/>
    <cellStyle name="表体数字3位(小) 7 7" xfId="25287"/>
    <cellStyle name="表体数字3位(小) 7 8" xfId="25288"/>
    <cellStyle name="表体数字3位(小) 7 9" xfId="25289"/>
    <cellStyle name="表体数字3位(小) 70" xfId="25195"/>
    <cellStyle name="表体数字3位(小) 71" xfId="25224"/>
    <cellStyle name="表体数字3位(小) 72" xfId="25244"/>
    <cellStyle name="表体数字3位(小) 73" xfId="25251"/>
    <cellStyle name="表体数字3位(小) 74" xfId="25258"/>
    <cellStyle name="表体数字3位(小) 75" xfId="25290"/>
    <cellStyle name="表体数字3位(小) 8" xfId="11653"/>
    <cellStyle name="表体数字3位(小) 8 10" xfId="25291"/>
    <cellStyle name="表体数字3位(小) 8 2" xfId="11655"/>
    <cellStyle name="表体数字3位(小) 8 2 2" xfId="25292"/>
    <cellStyle name="表体数字3位(小) 8 2 3" xfId="25293"/>
    <cellStyle name="表体数字3位(小) 8 2 4" xfId="25294"/>
    <cellStyle name="表体数字3位(小) 8 2 5" xfId="25295"/>
    <cellStyle name="表体数字3位(小) 8 2 6" xfId="25296"/>
    <cellStyle name="表体数字3位(小) 8 2 7" xfId="25297"/>
    <cellStyle name="表体数字3位(小) 8 2 8" xfId="25298"/>
    <cellStyle name="表体数字3位(小) 8 3" xfId="11657"/>
    <cellStyle name="表体数字3位(小) 8 3 2" xfId="25299"/>
    <cellStyle name="表体数字3位(小) 8 3 3" xfId="25300"/>
    <cellStyle name="表体数字3位(小) 8 3 4" xfId="25301"/>
    <cellStyle name="表体数字3位(小) 8 3 5" xfId="25302"/>
    <cellStyle name="表体数字3位(小) 8 3 6" xfId="25303"/>
    <cellStyle name="表体数字3位(小) 8 3 7" xfId="25304"/>
    <cellStyle name="表体数字3位(小) 8 3 8" xfId="25305"/>
    <cellStyle name="表体数字3位(小) 8 4" xfId="25306"/>
    <cellStyle name="表体数字3位(小) 8 5" xfId="15338"/>
    <cellStyle name="表体数字3位(小) 8 6" xfId="15341"/>
    <cellStyle name="表体数字3位(小) 8 7" xfId="15344"/>
    <cellStyle name="表体数字3位(小) 8 8" xfId="15347"/>
    <cellStyle name="表体数字3位(小) 8 9" xfId="15350"/>
    <cellStyle name="表体数字3位(小) 9" xfId="11660"/>
    <cellStyle name="表体数字3位(小) 9 10" xfId="25307"/>
    <cellStyle name="表体数字3位(小) 9 2" xfId="25308"/>
    <cellStyle name="表体数字3位(小) 9 2 2" xfId="25309"/>
    <cellStyle name="表体数字3位(小) 9 2 3" xfId="25310"/>
    <cellStyle name="表体数字3位(小) 9 2 4" xfId="25311"/>
    <cellStyle name="表体数字3位(小) 9 2 5" xfId="25312"/>
    <cellStyle name="表体数字3位(小) 9 2 6" xfId="25313"/>
    <cellStyle name="表体数字3位(小) 9 2 7" xfId="25314"/>
    <cellStyle name="表体数字3位(小) 9 2 8" xfId="25315"/>
    <cellStyle name="表体数字3位(小) 9 3" xfId="25316"/>
    <cellStyle name="表体数字3位(小) 9 3 2" xfId="25317"/>
    <cellStyle name="表体数字3位(小) 9 3 3" xfId="25318"/>
    <cellStyle name="表体数字3位(小) 9 3 4" xfId="25319"/>
    <cellStyle name="表体数字3位(小) 9 3 5" xfId="25320"/>
    <cellStyle name="表体数字3位(小) 9 3 6" xfId="25321"/>
    <cellStyle name="表体数字3位(小) 9 3 7" xfId="25322"/>
    <cellStyle name="表体数字3位(小) 9 3 8" xfId="25323"/>
    <cellStyle name="表体数字3位(小) 9 4" xfId="25324"/>
    <cellStyle name="表体数字3位(小) 9 5" xfId="15361"/>
    <cellStyle name="表体数字3位(小) 9 6" xfId="8360"/>
    <cellStyle name="表体数字3位(小) 9 7" xfId="15364"/>
    <cellStyle name="表体数字3位(小) 9 8" xfId="15367"/>
    <cellStyle name="表体数字3位(小) 9 9" xfId="15370"/>
    <cellStyle name="表体数字3位_Excel陶圆第三合同段签证部分土建" xfId="25325"/>
    <cellStyle name="表体数字右双线" xfId="25327"/>
    <cellStyle name="表体数字右双线 10" xfId="25328"/>
    <cellStyle name="表体数字右双线 11" xfId="25329"/>
    <cellStyle name="表体数字右双线 12" xfId="25330"/>
    <cellStyle name="表体数字右双线 2" xfId="25331"/>
    <cellStyle name="表体数字右双线 2 10" xfId="25332"/>
    <cellStyle name="表体数字右双线 2 2" xfId="17416"/>
    <cellStyle name="表体数字右双线 2 2 2" xfId="25333"/>
    <cellStyle name="表体数字右双线 2 2 3" xfId="25334"/>
    <cellStyle name="表体数字右双线 2 2 4" xfId="25335"/>
    <cellStyle name="表体数字右双线 2 2 5" xfId="25336"/>
    <cellStyle name="表体数字右双线 2 2 6" xfId="25337"/>
    <cellStyle name="表体数字右双线 2 2 7" xfId="25338"/>
    <cellStyle name="表体数字右双线 2 2 8" xfId="25339"/>
    <cellStyle name="表体数字右双线 2 3" xfId="25340"/>
    <cellStyle name="表体数字右双线 2 3 2" xfId="15575"/>
    <cellStyle name="表体数字右双线 2 3 3" xfId="15644"/>
    <cellStyle name="表体数字右双线 2 3 4" xfId="15701"/>
    <cellStyle name="表体数字右双线 2 3 5" xfId="15738"/>
    <cellStyle name="表体数字右双线 2 3 6" xfId="15822"/>
    <cellStyle name="表体数字右双线 2 3 7" xfId="15864"/>
    <cellStyle name="表体数字右双线 2 3 8" xfId="15919"/>
    <cellStyle name="表体数字右双线 2 4" xfId="25342"/>
    <cellStyle name="表体数字右双线 2 5" xfId="22918"/>
    <cellStyle name="表体数字右双线 2 6" xfId="22921"/>
    <cellStyle name="表体数字右双线 2 7" xfId="22924"/>
    <cellStyle name="表体数字右双线 2 8" xfId="20768"/>
    <cellStyle name="表体数字右双线 2 9" xfId="20786"/>
    <cellStyle name="表体数字右双线 3" xfId="25344"/>
    <cellStyle name="表体数字右双线 3 10" xfId="25345"/>
    <cellStyle name="表体数字右双线 3 2" xfId="25346"/>
    <cellStyle name="表体数字右双线 3 2 2" xfId="25348"/>
    <cellStyle name="表体数字右双线 3 2 3" xfId="25349"/>
    <cellStyle name="表体数字右双线 3 2 4" xfId="25350"/>
    <cellStyle name="表体数字右双线 3 2 5" xfId="25351"/>
    <cellStyle name="表体数字右双线 3 2 6" xfId="25352"/>
    <cellStyle name="表体数字右双线 3 2 7" xfId="25353"/>
    <cellStyle name="表体数字右双线 3 2 8" xfId="25354"/>
    <cellStyle name="表体数字右双线 3 3" xfId="25355"/>
    <cellStyle name="表体数字右双线 3 3 2" xfId="25357"/>
    <cellStyle name="表体数字右双线 3 3 3" xfId="25358"/>
    <cellStyle name="表体数字右双线 3 3 4" xfId="25359"/>
    <cellStyle name="表体数字右双线 3 3 5" xfId="25360"/>
    <cellStyle name="表体数字右双线 3 3 6" xfId="25361"/>
    <cellStyle name="表体数字右双线 3 3 7" xfId="25362"/>
    <cellStyle name="表体数字右双线 3 3 8" xfId="25363"/>
    <cellStyle name="表体数字右双线 3 4" xfId="25364"/>
    <cellStyle name="表体数字右双线 3 5" xfId="25366"/>
    <cellStyle name="表体数字右双线 3 6" xfId="25368"/>
    <cellStyle name="表体数字右双线 3 7" xfId="25370"/>
    <cellStyle name="表体数字右双线 3 8" xfId="20828"/>
    <cellStyle name="表体数字右双线 3 9" xfId="20846"/>
    <cellStyle name="表体数字右双线 4" xfId="11895"/>
    <cellStyle name="表体数字右双线 4 2" xfId="25371"/>
    <cellStyle name="表体数字右双线 4 3" xfId="24778"/>
    <cellStyle name="表体数字右双线 4 4" xfId="24781"/>
    <cellStyle name="表体数字右双线 4 5" xfId="24784"/>
    <cellStyle name="表体数字右双线 4 6" xfId="24787"/>
    <cellStyle name="表体数字右双线 4 7" xfId="24790"/>
    <cellStyle name="表体数字右双线 4 8" xfId="20879"/>
    <cellStyle name="表体数字右双线 5" xfId="11897"/>
    <cellStyle name="表体数字右双线 5 2" xfId="25372"/>
    <cellStyle name="表体数字右双线 5 3" xfId="24795"/>
    <cellStyle name="表体数字右双线 5 4" xfId="24798"/>
    <cellStyle name="表体数字右双线 5 5" xfId="24801"/>
    <cellStyle name="表体数字右双线 5 6" xfId="24804"/>
    <cellStyle name="表体数字右双线 5 7" xfId="24807"/>
    <cellStyle name="表体数字右双线 5 8" xfId="20936"/>
    <cellStyle name="表体数字右双线 6" xfId="14886"/>
    <cellStyle name="表体数字右双线 7" xfId="14908"/>
    <cellStyle name="表体数字右双线 8" xfId="14930"/>
    <cellStyle name="表体数字右双线 9" xfId="14933"/>
    <cellStyle name="表体文字" xfId="25373"/>
    <cellStyle name="表体文字 10" xfId="25374"/>
    <cellStyle name="表体文字 10 10" xfId="25375"/>
    <cellStyle name="表体文字 10 2" xfId="25378"/>
    <cellStyle name="表体文字 10 2 2" xfId="13515"/>
    <cellStyle name="表体文字 10 2 3" xfId="25379"/>
    <cellStyle name="表体文字 10 2 4" xfId="25380"/>
    <cellStyle name="表体文字 10 2 5" xfId="25381"/>
    <cellStyle name="表体文字 10 2 6" xfId="25382"/>
    <cellStyle name="表体文字 10 2 7" xfId="25383"/>
    <cellStyle name="表体文字 10 2 8" xfId="25384"/>
    <cellStyle name="表体文字 10 3" xfId="25385"/>
    <cellStyle name="表体文字 10 3 2" xfId="13546"/>
    <cellStyle name="表体文字 10 3 3" xfId="25386"/>
    <cellStyle name="表体文字 10 3 4" xfId="25387"/>
    <cellStyle name="表体文字 10 3 5" xfId="25388"/>
    <cellStyle name="表体文字 10 3 6" xfId="25389"/>
    <cellStyle name="表体文字 10 3 7" xfId="25390"/>
    <cellStyle name="表体文字 10 3 8" xfId="25391"/>
    <cellStyle name="表体文字 10 4" xfId="25392"/>
    <cellStyle name="表体文字 10 5" xfId="25393"/>
    <cellStyle name="表体文字 10 6" xfId="25394"/>
    <cellStyle name="表体文字 10 7" xfId="25397"/>
    <cellStyle name="表体文字 10 8" xfId="25398"/>
    <cellStyle name="表体文字 10 9" xfId="25399"/>
    <cellStyle name="表体文字 11" xfId="25400"/>
    <cellStyle name="表体文字 11 10" xfId="848"/>
    <cellStyle name="表体文字 11 2" xfId="25401"/>
    <cellStyle name="表体文字 11 2 2" xfId="13599"/>
    <cellStyle name="表体文字 11 2 3" xfId="25402"/>
    <cellStyle name="表体文字 11 2 4" xfId="25403"/>
    <cellStyle name="表体文字 11 2 5" xfId="25404"/>
    <cellStyle name="表体文字 11 2 6" xfId="25405"/>
    <cellStyle name="表体文字 11 2 7" xfId="25406"/>
    <cellStyle name="表体文字 11 2 8" xfId="25407"/>
    <cellStyle name="表体文字 11 3" xfId="25408"/>
    <cellStyle name="表体文字 11 3 2" xfId="13640"/>
    <cellStyle name="表体文字 11 3 3" xfId="25409"/>
    <cellStyle name="表体文字 11 3 4" xfId="25410"/>
    <cellStyle name="表体文字 11 3 5" xfId="25411"/>
    <cellStyle name="表体文字 11 3 6" xfId="25412"/>
    <cellStyle name="表体文字 11 3 7" xfId="25413"/>
    <cellStyle name="表体文字 11 3 8" xfId="25414"/>
    <cellStyle name="表体文字 11 4" xfId="22540"/>
    <cellStyle name="表体文字 11 5" xfId="22542"/>
    <cellStyle name="表体文字 11 6" xfId="22544"/>
    <cellStyle name="表体文字 11 7" xfId="22546"/>
    <cellStyle name="表体文字 11 8" xfId="22548"/>
    <cellStyle name="表体文字 11 9" xfId="22550"/>
    <cellStyle name="表体文字 12" xfId="25415"/>
    <cellStyle name="表体文字 12 10" xfId="1472"/>
    <cellStyle name="表体文字 12 2" xfId="25416"/>
    <cellStyle name="表体文字 12 2 2" xfId="13683"/>
    <cellStyle name="表体文字 12 2 3" xfId="25417"/>
    <cellStyle name="表体文字 12 2 4" xfId="25418"/>
    <cellStyle name="表体文字 12 2 5" xfId="25419"/>
    <cellStyle name="表体文字 12 2 6" xfId="25420"/>
    <cellStyle name="表体文字 12 2 7" xfId="25421"/>
    <cellStyle name="表体文字 12 2 8" xfId="25422"/>
    <cellStyle name="表体文字 12 3" xfId="25423"/>
    <cellStyle name="表体文字 12 3 2" xfId="13711"/>
    <cellStyle name="表体文字 12 3 3" xfId="25424"/>
    <cellStyle name="表体文字 12 3 4" xfId="25425"/>
    <cellStyle name="表体文字 12 3 5" xfId="25426"/>
    <cellStyle name="表体文字 12 3 6" xfId="25427"/>
    <cellStyle name="表体文字 12 3 7" xfId="25428"/>
    <cellStyle name="表体文字 12 3 8" xfId="25429"/>
    <cellStyle name="表体文字 12 4" xfId="22555"/>
    <cellStyle name="表体文字 12 5" xfId="22557"/>
    <cellStyle name="表体文字 12 6" xfId="22559"/>
    <cellStyle name="表体文字 12 7" xfId="22561"/>
    <cellStyle name="表体文字 12 8" xfId="22563"/>
    <cellStyle name="表体文字 12 9" xfId="22565"/>
    <cellStyle name="表体文字 13" xfId="25430"/>
    <cellStyle name="表体文字 13 10" xfId="1887"/>
    <cellStyle name="表体文字 13 2" xfId="5736"/>
    <cellStyle name="表体文字 13 2 2" xfId="13772"/>
    <cellStyle name="表体文字 13 2 3" xfId="25431"/>
    <cellStyle name="表体文字 13 2 4" xfId="25434"/>
    <cellStyle name="表体文字 13 2 5" xfId="25437"/>
    <cellStyle name="表体文字 13 2 6" xfId="25440"/>
    <cellStyle name="表体文字 13 2 7" xfId="25443"/>
    <cellStyle name="表体文字 13 2 8" xfId="25444"/>
    <cellStyle name="表体文字 13 3" xfId="13491"/>
    <cellStyle name="表体文字 13 3 2" xfId="13805"/>
    <cellStyle name="表体文字 13 3 3" xfId="25445"/>
    <cellStyle name="表体文字 13 3 4" xfId="295"/>
    <cellStyle name="表体文字 13 3 5" xfId="304"/>
    <cellStyle name="表体文字 13 3 6" xfId="5291"/>
    <cellStyle name="表体文字 13 3 7" xfId="5295"/>
    <cellStyle name="表体文字 13 3 8" xfId="5299"/>
    <cellStyle name="表体文字 13 4" xfId="13496"/>
    <cellStyle name="表体文字 13 5" xfId="13501"/>
    <cellStyle name="表体文字 13 6" xfId="13506"/>
    <cellStyle name="表体文字 13 7" xfId="13509"/>
    <cellStyle name="表体文字 13 8" xfId="13512"/>
    <cellStyle name="表体文字 13 9" xfId="13516"/>
    <cellStyle name="表体文字 14" xfId="25448"/>
    <cellStyle name="表体文字 14 10" xfId="2233"/>
    <cellStyle name="表体文字 14 2" xfId="2850"/>
    <cellStyle name="表体文字 14 2 2" xfId="6411"/>
    <cellStyle name="表体文字 14 2 3" xfId="6462"/>
    <cellStyle name="表体文字 14 2 4" xfId="6526"/>
    <cellStyle name="表体文字 14 2 5" xfId="5780"/>
    <cellStyle name="表体文字 14 2 6" xfId="5783"/>
    <cellStyle name="表体文字 14 2 7" xfId="5786"/>
    <cellStyle name="表体文字 14 2 8" xfId="5790"/>
    <cellStyle name="表体文字 14 3" xfId="13521"/>
    <cellStyle name="表体文字 14 3 2" xfId="13876"/>
    <cellStyle name="表体文字 14 3 3" xfId="25449"/>
    <cellStyle name="表体文字 14 3 4" xfId="25450"/>
    <cellStyle name="表体文字 14 3 5" xfId="25451"/>
    <cellStyle name="表体文字 14 3 6" xfId="25452"/>
    <cellStyle name="表体文字 14 3 7" xfId="25453"/>
    <cellStyle name="表体文字 14 3 8" xfId="25454"/>
    <cellStyle name="表体文字 14 4" xfId="13526"/>
    <cellStyle name="表体文字 14 5" xfId="13531"/>
    <cellStyle name="表体文字 14 6" xfId="13536"/>
    <cellStyle name="表体文字 14 7" xfId="13539"/>
    <cellStyle name="表体文字 14 8" xfId="13542"/>
    <cellStyle name="表体文字 14 9" xfId="13547"/>
    <cellStyle name="表体文字 15" xfId="25455"/>
    <cellStyle name="表体文字 15 10" xfId="25457"/>
    <cellStyle name="表体文字 15 2" xfId="1941"/>
    <cellStyle name="表体文字 15 2 2" xfId="13913"/>
    <cellStyle name="表体文字 15 2 3" xfId="25461"/>
    <cellStyle name="表体文字 15 2 4" xfId="25463"/>
    <cellStyle name="表体文字 15 2 5" xfId="25465"/>
    <cellStyle name="表体文字 15 2 6" xfId="25467"/>
    <cellStyle name="表体文字 15 2 7" xfId="25469"/>
    <cellStyle name="表体文字 15 2 8" xfId="4977"/>
    <cellStyle name="表体文字 15 3" xfId="1945"/>
    <cellStyle name="表体文字 15 3 2" xfId="13939"/>
    <cellStyle name="表体文字 15 3 3" xfId="25471"/>
    <cellStyle name="表体文字 15 3 4" xfId="25473"/>
    <cellStyle name="表体文字 15 3 5" xfId="25475"/>
    <cellStyle name="表体文字 15 3 6" xfId="9535"/>
    <cellStyle name="表体文字 15 3 7" xfId="9558"/>
    <cellStyle name="表体文字 15 3 8" xfId="9576"/>
    <cellStyle name="表体文字 15 4" xfId="1949"/>
    <cellStyle name="表体文字 15 5" xfId="1952"/>
    <cellStyle name="表体文字 15 6" xfId="1957"/>
    <cellStyle name="表体文字 15 7" xfId="25477"/>
    <cellStyle name="表体文字 15 8" xfId="25479"/>
    <cellStyle name="表体文字 15 9" xfId="25481"/>
    <cellStyle name="表体文字 16" xfId="25483"/>
    <cellStyle name="表体文字 16 10" xfId="25485"/>
    <cellStyle name="表体文字 16 2" xfId="1983"/>
    <cellStyle name="表体文字 16 2 2" xfId="13977"/>
    <cellStyle name="表体文字 16 2 3" xfId="25487"/>
    <cellStyle name="表体文字 16 2 4" xfId="25489"/>
    <cellStyle name="表体文字 16 2 5" xfId="25491"/>
    <cellStyle name="表体文字 16 2 6" xfId="25493"/>
    <cellStyle name="表体文字 16 2 7" xfId="25495"/>
    <cellStyle name="表体文字 16 2 8" xfId="25497"/>
    <cellStyle name="表体文字 16 3" xfId="1987"/>
    <cellStyle name="表体文字 16 3 2" xfId="14001"/>
    <cellStyle name="表体文字 16 3 3" xfId="25500"/>
    <cellStyle name="表体文字 16 3 4" xfId="25503"/>
    <cellStyle name="表体文字 16 3 5" xfId="25506"/>
    <cellStyle name="表体文字 16 3 6" xfId="25509"/>
    <cellStyle name="表体文字 16 3 7" xfId="25512"/>
    <cellStyle name="表体文字 16 3 8" xfId="25514"/>
    <cellStyle name="表体文字 16 4" xfId="1991"/>
    <cellStyle name="表体文字 16 5" xfId="1994"/>
    <cellStyle name="表体文字 16 6" xfId="1997"/>
    <cellStyle name="表体文字 16 7" xfId="25516"/>
    <cellStyle name="表体文字 16 8" xfId="25518"/>
    <cellStyle name="表体文字 16 9" xfId="25520"/>
    <cellStyle name="表体文字 17" xfId="25522"/>
    <cellStyle name="表体文字 17 10" xfId="25524"/>
    <cellStyle name="表体文字 17 2" xfId="2025"/>
    <cellStyle name="表体文字 17 2 2" xfId="14044"/>
    <cellStyle name="表体文字 17 2 3" xfId="25528"/>
    <cellStyle name="表体文字 17 2 4" xfId="25530"/>
    <cellStyle name="表体文字 17 2 5" xfId="25532"/>
    <cellStyle name="表体文字 17 2 6" xfId="25534"/>
    <cellStyle name="表体文字 17 2 7" xfId="25536"/>
    <cellStyle name="表体文字 17 2 8" xfId="25538"/>
    <cellStyle name="表体文字 17 3" xfId="2028"/>
    <cellStyle name="表体文字 17 3 2" xfId="14075"/>
    <cellStyle name="表体文字 17 3 3" xfId="25540"/>
    <cellStyle name="表体文字 17 3 4" xfId="25542"/>
    <cellStyle name="表体文字 17 3 5" xfId="25544"/>
    <cellStyle name="表体文字 17 3 6" xfId="25546"/>
    <cellStyle name="表体文字 17 3 7" xfId="25548"/>
    <cellStyle name="表体文字 17 3 8" xfId="2603"/>
    <cellStyle name="表体文字 17 4" xfId="2031"/>
    <cellStyle name="表体文字 17 5" xfId="2035"/>
    <cellStyle name="表体文字 17 6" xfId="2038"/>
    <cellStyle name="表体文字 17 7" xfId="25550"/>
    <cellStyle name="表体文字 17 8" xfId="25552"/>
    <cellStyle name="表体文字 17 9" xfId="25554"/>
    <cellStyle name="表体文字 18" xfId="19138"/>
    <cellStyle name="表体文字 18 10" xfId="25556"/>
    <cellStyle name="表体文字 18 2" xfId="2093"/>
    <cellStyle name="表体文字 18 2 2" xfId="14173"/>
    <cellStyle name="表体文字 18 2 3" xfId="25558"/>
    <cellStyle name="表体文字 18 2 4" xfId="25560"/>
    <cellStyle name="表体文字 18 2 5" xfId="25562"/>
    <cellStyle name="表体文字 18 2 6" xfId="25564"/>
    <cellStyle name="表体文字 18 2 7" xfId="25566"/>
    <cellStyle name="表体文字 18 2 8" xfId="25568"/>
    <cellStyle name="表体文字 18 3" xfId="2098"/>
    <cellStyle name="表体文字 18 3 2" xfId="14209"/>
    <cellStyle name="表体文字 18 3 3" xfId="25570"/>
    <cellStyle name="表体文字 18 3 4" xfId="25572"/>
    <cellStyle name="表体文字 18 3 5" xfId="25574"/>
    <cellStyle name="表体文字 18 3 6" xfId="25576"/>
    <cellStyle name="表体文字 18 3 7" xfId="25578"/>
    <cellStyle name="表体文字 18 3 8" xfId="25580"/>
    <cellStyle name="表体文字 18 4" xfId="2103"/>
    <cellStyle name="表体文字 18 5" xfId="2108"/>
    <cellStyle name="表体文字 18 6" xfId="2113"/>
    <cellStyle name="表体文字 18 7" xfId="19142"/>
    <cellStyle name="表体文字 18 8" xfId="19146"/>
    <cellStyle name="表体文字 18 9" xfId="25582"/>
    <cellStyle name="表体文字 19" xfId="19150"/>
    <cellStyle name="表体文字 19 10" xfId="25584"/>
    <cellStyle name="表体文字 19 2" xfId="2127"/>
    <cellStyle name="表体文字 19 2 2" xfId="14257"/>
    <cellStyle name="表体文字 19 2 3" xfId="1429"/>
    <cellStyle name="表体文字 19 2 4" xfId="1433"/>
    <cellStyle name="表体文字 19 2 5" xfId="135"/>
    <cellStyle name="表体文字 19 2 6" xfId="1443"/>
    <cellStyle name="表体文字 19 2 7" xfId="699"/>
    <cellStyle name="表体文字 19 2 8" xfId="393"/>
    <cellStyle name="表体文字 19 3" xfId="2133"/>
    <cellStyle name="表体文字 19 3 2" xfId="14299"/>
    <cellStyle name="表体文字 19 3 3" xfId="1471"/>
    <cellStyle name="表体文字 19 3 4" xfId="1487"/>
    <cellStyle name="表体文字 19 3 5" xfId="1506"/>
    <cellStyle name="表体文字 19 3 6" xfId="1526"/>
    <cellStyle name="表体文字 19 3 7" xfId="1538"/>
    <cellStyle name="表体文字 19 3 8" xfId="427"/>
    <cellStyle name="表体文字 19 4" xfId="2139"/>
    <cellStyle name="表体文字 19 5" xfId="2145"/>
    <cellStyle name="表体文字 19 6" xfId="2151"/>
    <cellStyle name="表体文字 19 7" xfId="19155"/>
    <cellStyle name="表体文字 19 8" xfId="19159"/>
    <cellStyle name="表体文字 19 9" xfId="19937"/>
    <cellStyle name="表体文字 2" xfId="25586"/>
    <cellStyle name="表体文字 2 10" xfId="6066"/>
    <cellStyle name="表体文字 2 10 10" xfId="25587"/>
    <cellStyle name="表体文字 2 10 2" xfId="3229"/>
    <cellStyle name="表体文字 2 10 2 2" xfId="14959"/>
    <cellStyle name="表体文字 2 10 2 3" xfId="14963"/>
    <cellStyle name="表体文字 2 10 2 4" xfId="14967"/>
    <cellStyle name="表体文字 2 10 2 5" xfId="14971"/>
    <cellStyle name="表体文字 2 10 2 6" xfId="22686"/>
    <cellStyle name="表体文字 2 10 2 7" xfId="22690"/>
    <cellStyle name="表体文字 2 10 2 8" xfId="8312"/>
    <cellStyle name="表体文字 2 10 3" xfId="6069"/>
    <cellStyle name="表体文字 2 10 3 2" xfId="14987"/>
    <cellStyle name="表体文字 2 10 3 3" xfId="14992"/>
    <cellStyle name="表体文字 2 10 3 4" xfId="14997"/>
    <cellStyle name="表体文字 2 10 3 5" xfId="15002"/>
    <cellStyle name="表体文字 2 10 3 6" xfId="22730"/>
    <cellStyle name="表体文字 2 10 3 7" xfId="22735"/>
    <cellStyle name="表体文字 2 10 3 8" xfId="8323"/>
    <cellStyle name="表体文字 2 10 4" xfId="22945"/>
    <cellStyle name="表体文字 2 10 5" xfId="23699"/>
    <cellStyle name="表体文字 2 10 6" xfId="25588"/>
    <cellStyle name="表体文字 2 10 7" xfId="25589"/>
    <cellStyle name="表体文字 2 10 8" xfId="25590"/>
    <cellStyle name="表体文字 2 10 9" xfId="21869"/>
    <cellStyle name="表体文字 2 11" xfId="25591"/>
    <cellStyle name="表体文字 2 11 10" xfId="25592"/>
    <cellStyle name="表体文字 2 11 2" xfId="22991"/>
    <cellStyle name="表体文字 2 11 2 2" xfId="15037"/>
    <cellStyle name="表体文字 2 11 2 3" xfId="15042"/>
    <cellStyle name="表体文字 2 11 2 4" xfId="15047"/>
    <cellStyle name="表体文字 2 11 2 5" xfId="15053"/>
    <cellStyle name="表体文字 2 11 2 6" xfId="25159"/>
    <cellStyle name="表体文字 2 11 2 7" xfId="25164"/>
    <cellStyle name="表体文字 2 11 2 8" xfId="8402"/>
    <cellStyle name="表体文字 2 11 3" xfId="22993"/>
    <cellStyle name="表体文字 2 11 3 2" xfId="15068"/>
    <cellStyle name="表体文字 2 11 3 3" xfId="15072"/>
    <cellStyle name="表体文字 2 11 3 4" xfId="15076"/>
    <cellStyle name="表体文字 2 11 3 5" xfId="15080"/>
    <cellStyle name="表体文字 2 11 3 6" xfId="25213"/>
    <cellStyle name="表体文字 2 11 3 7" xfId="25217"/>
    <cellStyle name="表体文字 2 11 3 8" xfId="8417"/>
    <cellStyle name="表体文字 2 11 4" xfId="22995"/>
    <cellStyle name="表体文字 2 11 5" xfId="25593"/>
    <cellStyle name="表体文字 2 11 6" xfId="23945"/>
    <cellStyle name="表体文字 2 11 7" xfId="23948"/>
    <cellStyle name="表体文字 2 11 8" xfId="23951"/>
    <cellStyle name="表体文字 2 11 9" xfId="21900"/>
    <cellStyle name="表体文字 2 12" xfId="25594"/>
    <cellStyle name="表体文字 2 12 10" xfId="25595"/>
    <cellStyle name="表体文字 2 12 2" xfId="23019"/>
    <cellStyle name="表体文字 2 12 2 2" xfId="15127"/>
    <cellStyle name="表体文字 2 12 2 3" xfId="15129"/>
    <cellStyle name="表体文字 2 12 2 4" xfId="15131"/>
    <cellStyle name="表体文字 2 12 2 5" xfId="15135"/>
    <cellStyle name="表体文字 2 12 2 6" xfId="25596"/>
    <cellStyle name="表体文字 2 12 2 7" xfId="25599"/>
    <cellStyle name="表体文字 2 12 2 8" xfId="25602"/>
    <cellStyle name="表体文字 2 12 3" xfId="23023"/>
    <cellStyle name="表体文字 2 12 3 2" xfId="15143"/>
    <cellStyle name="表体文字 2 12 3 3" xfId="15145"/>
    <cellStyle name="表体文字 2 12 3 4" xfId="15147"/>
    <cellStyle name="表体文字 2 12 3 5" xfId="15149"/>
    <cellStyle name="表体文字 2 12 3 6" xfId="25605"/>
    <cellStyle name="表体文字 2 12 3 7" xfId="25608"/>
    <cellStyle name="表体文字 2 12 3 8" xfId="25611"/>
    <cellStyle name="表体文字 2 12 4" xfId="23025"/>
    <cellStyle name="表体文字 2 12 5" xfId="25614"/>
    <cellStyle name="表体文字 2 12 6" xfId="23956"/>
    <cellStyle name="表体文字 2 12 7" xfId="23959"/>
    <cellStyle name="表体文字 2 12 8" xfId="23962"/>
    <cellStyle name="表体文字 2 12 9" xfId="23965"/>
    <cellStyle name="表体文字 2 13" xfId="25615"/>
    <cellStyle name="表体文字 2 13 10" xfId="25616"/>
    <cellStyle name="表体文字 2 13 2" xfId="17491"/>
    <cellStyle name="表体文字 2 13 2 2" xfId="25617"/>
    <cellStyle name="表体文字 2 13 2 3" xfId="8583"/>
    <cellStyle name="表体文字 2 13 2 4" xfId="8584"/>
    <cellStyle name="表体文字 2 13 2 5" xfId="25619"/>
    <cellStyle name="表体文字 2 13 2 6" xfId="25622"/>
    <cellStyle name="表体文字 2 13 2 7" xfId="25625"/>
    <cellStyle name="表体文字 2 13 2 8" xfId="25628"/>
    <cellStyle name="表体文字 2 13 3" xfId="17496"/>
    <cellStyle name="表体文字 2 13 3 2" xfId="25631"/>
    <cellStyle name="表体文字 2 13 3 3" xfId="25632"/>
    <cellStyle name="表体文字 2 13 3 4" xfId="25633"/>
    <cellStyle name="表体文字 2 13 3 5" xfId="25634"/>
    <cellStyle name="表体文字 2 13 3 6" xfId="25637"/>
    <cellStyle name="表体文字 2 13 3 7" xfId="25640"/>
    <cellStyle name="表体文字 2 13 3 8" xfId="25643"/>
    <cellStyle name="表体文字 2 13 4" xfId="23054"/>
    <cellStyle name="表体文字 2 13 5" xfId="25646"/>
    <cellStyle name="表体文字 2 13 6" xfId="25647"/>
    <cellStyle name="表体文字 2 13 7" xfId="25648"/>
    <cellStyle name="表体文字 2 13 8" xfId="25649"/>
    <cellStyle name="表体文字 2 13 9" xfId="25650"/>
    <cellStyle name="表体文字 2 14" xfId="25651"/>
    <cellStyle name="表体文字 2 14 10" xfId="25652"/>
    <cellStyle name="表体文字 2 14 2" xfId="17521"/>
    <cellStyle name="表体文字 2 14 2 2" xfId="25653"/>
    <cellStyle name="表体文字 2 14 2 3" xfId="25654"/>
    <cellStyle name="表体文字 2 14 2 4" xfId="25655"/>
    <cellStyle name="表体文字 2 14 2 5" xfId="25658"/>
    <cellStyle name="表体文字 2 14 2 6" xfId="25661"/>
    <cellStyle name="表体文字 2 14 2 7" xfId="25665"/>
    <cellStyle name="表体文字 2 14 2 8" xfId="25669"/>
    <cellStyle name="表体文字 2 14 3" xfId="17526"/>
    <cellStyle name="表体文字 2 14 3 2" xfId="25673"/>
    <cellStyle name="表体文字 2 14 3 3" xfId="3092"/>
    <cellStyle name="表体文字 2 14 3 4" xfId="3097"/>
    <cellStyle name="表体文字 2 14 3 5" xfId="3103"/>
    <cellStyle name="表体文字 2 14 3 6" xfId="3117"/>
    <cellStyle name="表体文字 2 14 3 7" xfId="3133"/>
    <cellStyle name="表体文字 2 14 3 8" xfId="3139"/>
    <cellStyle name="表体文字 2 14 4" xfId="23075"/>
    <cellStyle name="表体文字 2 14 5" xfId="25674"/>
    <cellStyle name="表体文字 2 14 6" xfId="25675"/>
    <cellStyle name="表体文字 2 14 7" xfId="25676"/>
    <cellStyle name="表体文字 2 14 8" xfId="25677"/>
    <cellStyle name="表体文字 2 14 9" xfId="12948"/>
    <cellStyle name="表体文字 2 15" xfId="25678"/>
    <cellStyle name="表体文字 2 15 10" xfId="25680"/>
    <cellStyle name="表体文字 2 15 2" xfId="11560"/>
    <cellStyle name="表体文字 2 15 2 2" xfId="25682"/>
    <cellStyle name="表体文字 2 15 2 3" xfId="25684"/>
    <cellStyle name="表体文字 2 15 2 4" xfId="25686"/>
    <cellStyle name="表体文字 2 15 2 5" xfId="25690"/>
    <cellStyle name="表体文字 2 15 2 6" xfId="25694"/>
    <cellStyle name="表体文字 2 15 2 7" xfId="25699"/>
    <cellStyle name="表体文字 2 15 2 8" xfId="25704"/>
    <cellStyle name="表体文字 2 15 3" xfId="11566"/>
    <cellStyle name="表体文字 2 15 3 2" xfId="25709"/>
    <cellStyle name="表体文字 2 15 3 3" xfId="25711"/>
    <cellStyle name="表体文字 2 15 3 4" xfId="25713"/>
    <cellStyle name="表体文字 2 15 3 5" xfId="25715"/>
    <cellStyle name="表体文字 2 15 3 6" xfId="25719"/>
    <cellStyle name="表体文字 2 15 3 7" xfId="25723"/>
    <cellStyle name="表体文字 2 15 3 8" xfId="25727"/>
    <cellStyle name="表体文字 2 15 4" xfId="11572"/>
    <cellStyle name="表体文字 2 15 5" xfId="11590"/>
    <cellStyle name="表体文字 2 15 6" xfId="11593"/>
    <cellStyle name="表体文字 2 15 7" xfId="11596"/>
    <cellStyle name="表体文字 2 15 8" xfId="11599"/>
    <cellStyle name="表体文字 2 15 9" xfId="11603"/>
    <cellStyle name="表体文字 2 16" xfId="25731"/>
    <cellStyle name="表体文字 2 16 10" xfId="5258"/>
    <cellStyle name="表体文字 2 16 2" xfId="23144"/>
    <cellStyle name="表体文字 2 16 2 2" xfId="25733"/>
    <cellStyle name="表体文字 2 16 2 3" xfId="25735"/>
    <cellStyle name="表体文字 2 16 2 4" xfId="25737"/>
    <cellStyle name="表体文字 2 16 2 5" xfId="25741"/>
    <cellStyle name="表体文字 2 16 2 6" xfId="25745"/>
    <cellStyle name="表体文字 2 16 2 7" xfId="25750"/>
    <cellStyle name="表体文字 2 16 2 8" xfId="25755"/>
    <cellStyle name="表体文字 2 16 3" xfId="23148"/>
    <cellStyle name="表体文字 2 16 3 2" xfId="25760"/>
    <cellStyle name="表体文字 2 16 3 3" xfId="25762"/>
    <cellStyle name="表体文字 2 16 3 4" xfId="25764"/>
    <cellStyle name="表体文字 2 16 3 5" xfId="25766"/>
    <cellStyle name="表体文字 2 16 3 6" xfId="25770"/>
    <cellStyle name="表体文字 2 16 3 7" xfId="25774"/>
    <cellStyle name="表体文字 2 16 3 8" xfId="25778"/>
    <cellStyle name="表体文字 2 16 4" xfId="23152"/>
    <cellStyle name="表体文字 2 16 5" xfId="25782"/>
    <cellStyle name="表体文字 2 16 6" xfId="25784"/>
    <cellStyle name="表体文字 2 16 7" xfId="4806"/>
    <cellStyle name="表体文字 2 16 8" xfId="3792"/>
    <cellStyle name="表体文字 2 16 9" xfId="3801"/>
    <cellStyle name="表体文字 2 17" xfId="25789"/>
    <cellStyle name="表体文字 2 17 10" xfId="25791"/>
    <cellStyle name="表体文字 2 17 2" xfId="23194"/>
    <cellStyle name="表体文字 2 17 2 2" xfId="25795"/>
    <cellStyle name="表体文字 2 17 2 3" xfId="25798"/>
    <cellStyle name="表体文字 2 17 2 4" xfId="25801"/>
    <cellStyle name="表体文字 2 17 2 5" xfId="25804"/>
    <cellStyle name="表体文字 2 17 2 6" xfId="25809"/>
    <cellStyle name="表体文字 2 17 2 7" xfId="25815"/>
    <cellStyle name="表体文字 2 17 2 8" xfId="25821"/>
    <cellStyle name="表体文字 2 17 3" xfId="23203"/>
    <cellStyle name="表体文字 2 17 3 2" xfId="25827"/>
    <cellStyle name="表体文字 2 17 3 3" xfId="25830"/>
    <cellStyle name="表体文字 2 17 3 4" xfId="25833"/>
    <cellStyle name="表体文字 2 17 3 5" xfId="25836"/>
    <cellStyle name="表体文字 2 17 3 6" xfId="25841"/>
    <cellStyle name="表体文字 2 17 3 7" xfId="25846"/>
    <cellStyle name="表体文字 2 17 3 8" xfId="25851"/>
    <cellStyle name="表体文字 2 17 4" xfId="23210"/>
    <cellStyle name="表体文字 2 17 5" xfId="25856"/>
    <cellStyle name="表体文字 2 17 6" xfId="25861"/>
    <cellStyle name="表体文字 2 17 7" xfId="4825"/>
    <cellStyle name="表体文字 2 17 8" xfId="3812"/>
    <cellStyle name="表体文字 2 17 9" xfId="3818"/>
    <cellStyle name="表体文字 2 18" xfId="25869"/>
    <cellStyle name="表体文字 2 18 10" xfId="25871"/>
    <cellStyle name="表体文字 2 18 2" xfId="23293"/>
    <cellStyle name="表体文字 2 18 2 2" xfId="25873"/>
    <cellStyle name="表体文字 2 18 2 3" xfId="25875"/>
    <cellStyle name="表体文字 2 18 2 4" xfId="25877"/>
    <cellStyle name="表体文字 2 18 2 5" xfId="25879"/>
    <cellStyle name="表体文字 2 18 2 6" xfId="25883"/>
    <cellStyle name="表体文字 2 18 2 7" xfId="25888"/>
    <cellStyle name="表体文字 2 18 2 8" xfId="25893"/>
    <cellStyle name="表体文字 2 18 3" xfId="23300"/>
    <cellStyle name="表体文字 2 18 3 2" xfId="25898"/>
    <cellStyle name="表体文字 2 18 3 3" xfId="25900"/>
    <cellStyle name="表体文字 2 18 3 4" xfId="25902"/>
    <cellStyle name="表体文字 2 18 3 5" xfId="25904"/>
    <cellStyle name="表体文字 2 18 3 6" xfId="25908"/>
    <cellStyle name="表体文字 2 18 3 7" xfId="25912"/>
    <cellStyle name="表体文字 2 18 3 8" xfId="25916"/>
    <cellStyle name="表体文字 2 18 4" xfId="23307"/>
    <cellStyle name="表体文字 2 18 5" xfId="25920"/>
    <cellStyle name="表体文字 2 18 6" xfId="25925"/>
    <cellStyle name="表体文字 2 18 7" xfId="4871"/>
    <cellStyle name="表体文字 2 18 8" xfId="7206"/>
    <cellStyle name="表体文字 2 18 9" xfId="7216"/>
    <cellStyle name="表体文字 2 19" xfId="25930"/>
    <cellStyle name="表体文字 2 19 10" xfId="10562"/>
    <cellStyle name="表体文字 2 19 2" xfId="23342"/>
    <cellStyle name="表体文字 2 19 2 2" xfId="25932"/>
    <cellStyle name="表体文字 2 19 2 3" xfId="25934"/>
    <cellStyle name="表体文字 2 19 2 4" xfId="25936"/>
    <cellStyle name="表体文字 2 19 2 5" xfId="25938"/>
    <cellStyle name="表体文字 2 19 2 6" xfId="11682"/>
    <cellStyle name="表体文字 2 19 2 7" xfId="11689"/>
    <cellStyle name="表体文字 2 19 2 8" xfId="11701"/>
    <cellStyle name="表体文字 2 19 3" xfId="23346"/>
    <cellStyle name="表体文字 2 19 3 2" xfId="7061"/>
    <cellStyle name="表体文字 2 19 3 3" xfId="7064"/>
    <cellStyle name="表体文字 2 19 3 4" xfId="7068"/>
    <cellStyle name="表体文字 2 19 3 5" xfId="7071"/>
    <cellStyle name="表体文字 2 19 3 6" xfId="11738"/>
    <cellStyle name="表体文字 2 19 3 7" xfId="11744"/>
    <cellStyle name="表体文字 2 19 3 8" xfId="11754"/>
    <cellStyle name="表体文字 2 19 4" xfId="23350"/>
    <cellStyle name="表体文字 2 19 5" xfId="25941"/>
    <cellStyle name="表体文字 2 19 6" xfId="25943"/>
    <cellStyle name="表体文字 2 19 7" xfId="7236"/>
    <cellStyle name="表体文字 2 19 8" xfId="3689"/>
    <cellStyle name="表体文字 2 19 9" xfId="7259"/>
    <cellStyle name="表体文字 2 2" xfId="25945"/>
    <cellStyle name="表体文字 2 2 10" xfId="25948"/>
    <cellStyle name="表体文字 2 2 2" xfId="25949"/>
    <cellStyle name="表体文字 2 2 2 2" xfId="25952"/>
    <cellStyle name="表体文字 2 2 2 3" xfId="25953"/>
    <cellStyle name="表体文字 2 2 2 4" xfId="24850"/>
    <cellStyle name="表体文字 2 2 2 5" xfId="24875"/>
    <cellStyle name="表体文字 2 2 2 6" xfId="24900"/>
    <cellStyle name="表体文字 2 2 2 7" xfId="24903"/>
    <cellStyle name="表体文字 2 2 2 8" xfId="24906"/>
    <cellStyle name="表体文字 2 2 3" xfId="14057"/>
    <cellStyle name="表体文字 2 2 3 2" xfId="25954"/>
    <cellStyle name="表体文字 2 2 3 3" xfId="25955"/>
    <cellStyle name="表体文字 2 2 3 4" xfId="24913"/>
    <cellStyle name="表体文字 2 2 3 5" xfId="24930"/>
    <cellStyle name="表体文字 2 2 3 6" xfId="24947"/>
    <cellStyle name="表体文字 2 2 3 7" xfId="24950"/>
    <cellStyle name="表体文字 2 2 3 8" xfId="24953"/>
    <cellStyle name="表体文字 2 2 4" xfId="14062"/>
    <cellStyle name="表体文字 2 2 5" xfId="8913"/>
    <cellStyle name="表体文字 2 2 6" xfId="8919"/>
    <cellStyle name="表体文字 2 2 7" xfId="14067"/>
    <cellStyle name="表体文字 2 2 8" xfId="14070"/>
    <cellStyle name="表体文字 2 2 9" xfId="14076"/>
    <cellStyle name="表体文字 2 20" xfId="25679"/>
    <cellStyle name="表体文字 2 20 10" xfId="25681"/>
    <cellStyle name="表体文字 2 20 2" xfId="11561"/>
    <cellStyle name="表体文字 2 20 2 2" xfId="25683"/>
    <cellStyle name="表体文字 2 20 2 3" xfId="25685"/>
    <cellStyle name="表体文字 2 20 2 4" xfId="25687"/>
    <cellStyle name="表体文字 2 20 2 5" xfId="25691"/>
    <cellStyle name="表体文字 2 20 2 6" xfId="25695"/>
    <cellStyle name="表体文字 2 20 2 7" xfId="25700"/>
    <cellStyle name="表体文字 2 20 2 8" xfId="25705"/>
    <cellStyle name="表体文字 2 20 3" xfId="11567"/>
    <cellStyle name="表体文字 2 20 3 2" xfId="25710"/>
    <cellStyle name="表体文字 2 20 3 3" xfId="25712"/>
    <cellStyle name="表体文字 2 20 3 4" xfId="25714"/>
    <cellStyle name="表体文字 2 20 3 5" xfId="25716"/>
    <cellStyle name="表体文字 2 20 3 6" xfId="25720"/>
    <cellStyle name="表体文字 2 20 3 7" xfId="25724"/>
    <cellStyle name="表体文字 2 20 3 8" xfId="25728"/>
    <cellStyle name="表体文字 2 20 4" xfId="11573"/>
    <cellStyle name="表体文字 2 20 5" xfId="11591"/>
    <cellStyle name="表体文字 2 20 6" xfId="11594"/>
    <cellStyle name="表体文字 2 20 7" xfId="11597"/>
    <cellStyle name="表体文字 2 20 8" xfId="11600"/>
    <cellStyle name="表体文字 2 20 9" xfId="11604"/>
    <cellStyle name="表体文字 2 21" xfId="25732"/>
    <cellStyle name="表体文字 2 21 10" xfId="5259"/>
    <cellStyle name="表体文字 2 21 2" xfId="23145"/>
    <cellStyle name="表体文字 2 21 2 2" xfId="25734"/>
    <cellStyle name="表体文字 2 21 2 3" xfId="25736"/>
    <cellStyle name="表体文字 2 21 2 4" xfId="25738"/>
    <cellStyle name="表体文字 2 21 2 5" xfId="25742"/>
    <cellStyle name="表体文字 2 21 2 6" xfId="25746"/>
    <cellStyle name="表体文字 2 21 2 7" xfId="25751"/>
    <cellStyle name="表体文字 2 21 2 8" xfId="25756"/>
    <cellStyle name="表体文字 2 21 3" xfId="23149"/>
    <cellStyle name="表体文字 2 21 3 2" xfId="25761"/>
    <cellStyle name="表体文字 2 21 3 3" xfId="25763"/>
    <cellStyle name="表体文字 2 21 3 4" xfId="25765"/>
    <cellStyle name="表体文字 2 21 3 5" xfId="25767"/>
    <cellStyle name="表体文字 2 21 3 6" xfId="25771"/>
    <cellStyle name="表体文字 2 21 3 7" xfId="25775"/>
    <cellStyle name="表体文字 2 21 3 8" xfId="25779"/>
    <cellStyle name="表体文字 2 21 4" xfId="23153"/>
    <cellStyle name="表体文字 2 21 5" xfId="25783"/>
    <cellStyle name="表体文字 2 21 6" xfId="25785"/>
    <cellStyle name="表体文字 2 21 7" xfId="4807"/>
    <cellStyle name="表体文字 2 21 8" xfId="3791"/>
    <cellStyle name="表体文字 2 21 9" xfId="3800"/>
    <cellStyle name="表体文字 2 22" xfId="25790"/>
    <cellStyle name="表体文字 2 22 10" xfId="25792"/>
    <cellStyle name="表体文字 2 22 2" xfId="23195"/>
    <cellStyle name="表体文字 2 22 2 2" xfId="25796"/>
    <cellStyle name="表体文字 2 22 2 3" xfId="25799"/>
    <cellStyle name="表体文字 2 22 2 4" xfId="25802"/>
    <cellStyle name="表体文字 2 22 2 5" xfId="25805"/>
    <cellStyle name="表体文字 2 22 2 6" xfId="25810"/>
    <cellStyle name="表体文字 2 22 2 7" xfId="25816"/>
    <cellStyle name="表体文字 2 22 2 8" xfId="25822"/>
    <cellStyle name="表体文字 2 22 3" xfId="23204"/>
    <cellStyle name="表体文字 2 22 3 2" xfId="25828"/>
    <cellStyle name="表体文字 2 22 3 3" xfId="25831"/>
    <cellStyle name="表体文字 2 22 3 4" xfId="25834"/>
    <cellStyle name="表体文字 2 22 3 5" xfId="25837"/>
    <cellStyle name="表体文字 2 22 3 6" xfId="25842"/>
    <cellStyle name="表体文字 2 22 3 7" xfId="25847"/>
    <cellStyle name="表体文字 2 22 3 8" xfId="25852"/>
    <cellStyle name="表体文字 2 22 4" xfId="23211"/>
    <cellStyle name="表体文字 2 22 5" xfId="25857"/>
    <cellStyle name="表体文字 2 22 6" xfId="25862"/>
    <cellStyle name="表体文字 2 22 7" xfId="4826"/>
    <cellStyle name="表体文字 2 22 8" xfId="3811"/>
    <cellStyle name="表体文字 2 22 9" xfId="3817"/>
    <cellStyle name="表体文字 2 23" xfId="25870"/>
    <cellStyle name="表体文字 2 23 10" xfId="25872"/>
    <cellStyle name="表体文字 2 23 2" xfId="23294"/>
    <cellStyle name="表体文字 2 23 2 2" xfId="25874"/>
    <cellStyle name="表体文字 2 23 2 3" xfId="25876"/>
    <cellStyle name="表体文字 2 23 2 4" xfId="25878"/>
    <cellStyle name="表体文字 2 23 2 5" xfId="25880"/>
    <cellStyle name="表体文字 2 23 2 6" xfId="25884"/>
    <cellStyle name="表体文字 2 23 2 7" xfId="25889"/>
    <cellStyle name="表体文字 2 23 2 8" xfId="25894"/>
    <cellStyle name="表体文字 2 23 3" xfId="23301"/>
    <cellStyle name="表体文字 2 23 3 2" xfId="25899"/>
    <cellStyle name="表体文字 2 23 3 3" xfId="25901"/>
    <cellStyle name="表体文字 2 23 3 4" xfId="25903"/>
    <cellStyle name="表体文字 2 23 3 5" xfId="25905"/>
    <cellStyle name="表体文字 2 23 3 6" xfId="25909"/>
    <cellStyle name="表体文字 2 23 3 7" xfId="25913"/>
    <cellStyle name="表体文字 2 23 3 8" xfId="25917"/>
    <cellStyle name="表体文字 2 23 4" xfId="23308"/>
    <cellStyle name="表体文字 2 23 5" xfId="25921"/>
    <cellStyle name="表体文字 2 23 6" xfId="25926"/>
    <cellStyle name="表体文字 2 23 7" xfId="4872"/>
    <cellStyle name="表体文字 2 23 8" xfId="7207"/>
    <cellStyle name="表体文字 2 23 9" xfId="7217"/>
    <cellStyle name="表体文字 2 24" xfId="25931"/>
    <cellStyle name="表体文字 2 24 10" xfId="10563"/>
    <cellStyle name="表体文字 2 24 2" xfId="23343"/>
    <cellStyle name="表体文字 2 24 2 2" xfId="25933"/>
    <cellStyle name="表体文字 2 24 2 3" xfId="25935"/>
    <cellStyle name="表体文字 2 24 2 4" xfId="25937"/>
    <cellStyle name="表体文字 2 24 2 5" xfId="25939"/>
    <cellStyle name="表体文字 2 24 2 6" xfId="11683"/>
    <cellStyle name="表体文字 2 24 2 7" xfId="11690"/>
    <cellStyle name="表体文字 2 24 2 8" xfId="11702"/>
    <cellStyle name="表体文字 2 24 3" xfId="23347"/>
    <cellStyle name="表体文字 2 24 3 2" xfId="7062"/>
    <cellStyle name="表体文字 2 24 3 3" xfId="7065"/>
    <cellStyle name="表体文字 2 24 3 4" xfId="7069"/>
    <cellStyle name="表体文字 2 24 3 5" xfId="7072"/>
    <cellStyle name="表体文字 2 24 3 6" xfId="11739"/>
    <cellStyle name="表体文字 2 24 3 7" xfId="11745"/>
    <cellStyle name="表体文字 2 24 3 8" xfId="11755"/>
    <cellStyle name="表体文字 2 24 4" xfId="23351"/>
    <cellStyle name="表体文字 2 24 5" xfId="25942"/>
    <cellStyle name="表体文字 2 24 6" xfId="25944"/>
    <cellStyle name="表体文字 2 24 7" xfId="7237"/>
    <cellStyle name="表体文字 2 24 8" xfId="3688"/>
    <cellStyle name="表体文字 2 24 9" xfId="7260"/>
    <cellStyle name="表体文字 2 25" xfId="25956"/>
    <cellStyle name="表体文字 2 25 10" xfId="25958"/>
    <cellStyle name="表体文字 2 25 2" xfId="23384"/>
    <cellStyle name="表体文字 2 25 2 2" xfId="25960"/>
    <cellStyle name="表体文字 2 25 2 3" xfId="25962"/>
    <cellStyle name="表体文字 2 25 2 4" xfId="25964"/>
    <cellStyle name="表体文字 2 25 2 5" xfId="25966"/>
    <cellStyle name="表体文字 2 25 2 6" xfId="25969"/>
    <cellStyle name="表体文字 2 25 2 7" xfId="25973"/>
    <cellStyle name="表体文字 2 25 2 8" xfId="25977"/>
    <cellStyle name="表体文字 2 25 3" xfId="23388"/>
    <cellStyle name="表体文字 2 25 3 2" xfId="1029"/>
    <cellStyle name="表体文字 2 25 3 3" xfId="1036"/>
    <cellStyle name="表体文字 2 25 3 4" xfId="112"/>
    <cellStyle name="表体文字 2 25 3 5" xfId="1049"/>
    <cellStyle name="表体文字 2 25 3 6" xfId="25981"/>
    <cellStyle name="表体文字 2 25 3 7" xfId="25984"/>
    <cellStyle name="表体文字 2 25 3 8" xfId="25987"/>
    <cellStyle name="表体文字 2 25 4" xfId="23392"/>
    <cellStyle name="表体文字 2 25 5" xfId="24145"/>
    <cellStyle name="表体文字 2 25 6" xfId="25990"/>
    <cellStyle name="表体文字 2 25 7" xfId="6980"/>
    <cellStyle name="表体文字 2 25 8" xfId="7279"/>
    <cellStyle name="表体文字 2 25 9" xfId="7283"/>
    <cellStyle name="表体文字 2 26" xfId="25992"/>
    <cellStyle name="表体文字 2 26 10" xfId="880"/>
    <cellStyle name="表体文字 2 26 2" xfId="23426"/>
    <cellStyle name="表体文字 2 26 2 2" xfId="1804"/>
    <cellStyle name="表体文字 2 26 2 3" xfId="1813"/>
    <cellStyle name="表体文字 2 26 2 4" xfId="1822"/>
    <cellStyle name="表体文字 2 26 2 5" xfId="1833"/>
    <cellStyle name="表体文字 2 26 2 6" xfId="25994"/>
    <cellStyle name="表体文字 2 26 2 7" xfId="25997"/>
    <cellStyle name="表体文字 2 26 2 8" xfId="26000"/>
    <cellStyle name="表体文字 2 26 3" xfId="23430"/>
    <cellStyle name="表体文字 2 26 3 2" xfId="26003"/>
    <cellStyle name="表体文字 2 26 3 3" xfId="26005"/>
    <cellStyle name="表体文字 2 26 3 4" xfId="320"/>
    <cellStyle name="表体文字 2 26 3 5" xfId="828"/>
    <cellStyle name="表体文字 2 26 3 6" xfId="26007"/>
    <cellStyle name="表体文字 2 26 3 7" xfId="26009"/>
    <cellStyle name="表体文字 2 26 3 8" xfId="26011"/>
    <cellStyle name="表体文字 2 26 4" xfId="23434"/>
    <cellStyle name="表体文字 2 26 5" xfId="26013"/>
    <cellStyle name="表体文字 2 26 6" xfId="26015"/>
    <cellStyle name="表体文字 2 26 7" xfId="7302"/>
    <cellStyle name="表体文字 2 26 8" xfId="7310"/>
    <cellStyle name="表体文字 2 26 9" xfId="4244"/>
    <cellStyle name="表体文字 2 27" xfId="26017"/>
    <cellStyle name="表体文字 2 27 10" xfId="26019"/>
    <cellStyle name="表体文字 2 27 2" xfId="23466"/>
    <cellStyle name="表体文字 2 27 2 2" xfId="26021"/>
    <cellStyle name="表体文字 2 27 2 3" xfId="26023"/>
    <cellStyle name="表体文字 2 27 2 4" xfId="26025"/>
    <cellStyle name="表体文字 2 27 2 5" xfId="26027"/>
    <cellStyle name="表体文字 2 27 2 6" xfId="26029"/>
    <cellStyle name="表体文字 2 27 2 7" xfId="26031"/>
    <cellStyle name="表体文字 2 27 2 8" xfId="26033"/>
    <cellStyle name="表体文字 2 27 3" xfId="23472"/>
    <cellStyle name="表体文字 2 27 3 2" xfId="26035"/>
    <cellStyle name="表体文字 2 27 3 3" xfId="26037"/>
    <cellStyle name="表体文字 2 27 3 4" xfId="26039"/>
    <cellStyle name="表体文字 2 27 3 5" xfId="26041"/>
    <cellStyle name="表体文字 2 27 3 6" xfId="26043"/>
    <cellStyle name="表体文字 2 27 3 7" xfId="26045"/>
    <cellStyle name="表体文字 2 27 3 8" xfId="26047"/>
    <cellStyle name="表体文字 2 27 4" xfId="23476"/>
    <cellStyle name="表体文字 2 27 5" xfId="26049"/>
    <cellStyle name="表体文字 2 27 6" xfId="26051"/>
    <cellStyle name="表体文字 2 27 7" xfId="7318"/>
    <cellStyle name="表体文字 2 27 8" xfId="7326"/>
    <cellStyle name="表体文字 2 27 9" xfId="7334"/>
    <cellStyle name="表体文字 2 28" xfId="26055"/>
    <cellStyle name="表体文字 2 28 10" xfId="26057"/>
    <cellStyle name="表体文字 2 28 2" xfId="23542"/>
    <cellStyle name="表体文字 2 28 2 2" xfId="26059"/>
    <cellStyle name="表体文字 2 28 2 3" xfId="26061"/>
    <cellStyle name="表体文字 2 28 2 4" xfId="26063"/>
    <cellStyle name="表体文字 2 28 2 5" xfId="26066"/>
    <cellStyle name="表体文字 2 28 2 6" xfId="26069"/>
    <cellStyle name="表体文字 2 28 2 7" xfId="26072"/>
    <cellStyle name="表体文字 2 28 2 8" xfId="26075"/>
    <cellStyle name="表体文字 2 28 3" xfId="23546"/>
    <cellStyle name="表体文字 2 28 3 2" xfId="26077"/>
    <cellStyle name="表体文字 2 28 3 3" xfId="26079"/>
    <cellStyle name="表体文字 2 28 3 4" xfId="26081"/>
    <cellStyle name="表体文字 2 28 3 5" xfId="26084"/>
    <cellStyle name="表体文字 2 28 3 6" xfId="2522"/>
    <cellStyle name="表体文字 2 28 3 7" xfId="26087"/>
    <cellStyle name="表体文字 2 28 3 8" xfId="26090"/>
    <cellStyle name="表体文字 2 28 4" xfId="23550"/>
    <cellStyle name="表体文字 2 28 5" xfId="26092"/>
    <cellStyle name="表体文字 2 28 6" xfId="26094"/>
    <cellStyle name="表体文字 2 28 7" xfId="4898"/>
    <cellStyle name="表体文字 2 28 8" xfId="6992"/>
    <cellStyle name="表体文字 2 28 9" xfId="7003"/>
    <cellStyle name="表体文字 2 29" xfId="26098"/>
    <cellStyle name="表体文字 2 29 10" xfId="11144"/>
    <cellStyle name="表体文字 2 29 2" xfId="23580"/>
    <cellStyle name="表体文字 2 29 2 2" xfId="26100"/>
    <cellStyle name="表体文字 2 29 2 3" xfId="26102"/>
    <cellStyle name="表体文字 2 29 2 4" xfId="26104"/>
    <cellStyle name="表体文字 2 29 2 5" xfId="26106"/>
    <cellStyle name="表体文字 2 29 2 6" xfId="9980"/>
    <cellStyle name="表体文字 2 29 2 7" xfId="9983"/>
    <cellStyle name="表体文字 2 29 2 8" xfId="9993"/>
    <cellStyle name="表体文字 2 29 3" xfId="23584"/>
    <cellStyle name="表体文字 2 29 3 2" xfId="26108"/>
    <cellStyle name="表体文字 2 29 3 3" xfId="13328"/>
    <cellStyle name="表体文字 2 29 3 4" xfId="15480"/>
    <cellStyle name="表体文字 2 29 3 5" xfId="15784"/>
    <cellStyle name="表体文字 2 29 3 6" xfId="10004"/>
    <cellStyle name="表体文字 2 29 3 7" xfId="10012"/>
    <cellStyle name="表体文字 2 29 3 8" xfId="5208"/>
    <cellStyle name="表体文字 2 29 4" xfId="23588"/>
    <cellStyle name="表体文字 2 29 5" xfId="26110"/>
    <cellStyle name="表体文字 2 29 6" xfId="26112"/>
    <cellStyle name="表体文字 2 29 7" xfId="26114"/>
    <cellStyle name="表体文字 2 29 8" xfId="26116"/>
    <cellStyle name="表体文字 2 29 9" xfId="26118"/>
    <cellStyle name="表体文字 2 3" xfId="26120"/>
    <cellStyle name="表体文字 2 3 10" xfId="26122"/>
    <cellStyle name="表体文字 2 3 2" xfId="8108"/>
    <cellStyle name="表体文字 2 3 2 2" xfId="26123"/>
    <cellStyle name="表体文字 2 3 2 3" xfId="26124"/>
    <cellStyle name="表体文字 2 3 2 4" xfId="26125"/>
    <cellStyle name="表体文字 2 3 2 5" xfId="26126"/>
    <cellStyle name="表体文字 2 3 2 6" xfId="26127"/>
    <cellStyle name="表体文字 2 3 2 7" xfId="26128"/>
    <cellStyle name="表体文字 2 3 2 8" xfId="26129"/>
    <cellStyle name="表体文字 2 3 3" xfId="1062"/>
    <cellStyle name="表体文字 2 3 3 2" xfId="6184"/>
    <cellStyle name="表体文字 2 3 3 3" xfId="6248"/>
    <cellStyle name="表体文字 2 3 3 4" xfId="5759"/>
    <cellStyle name="表体文字 2 3 3 5" xfId="6298"/>
    <cellStyle name="表体文字 2 3 3 6" xfId="6302"/>
    <cellStyle name="表体文字 2 3 3 7" xfId="6305"/>
    <cellStyle name="表体文字 2 3 3 8" xfId="6317"/>
    <cellStyle name="表体文字 2 3 4" xfId="26130"/>
    <cellStyle name="表体文字 2 3 5" xfId="26131"/>
    <cellStyle name="表体文字 2 3 6" xfId="26132"/>
    <cellStyle name="表体文字 2 3 7" xfId="26133"/>
    <cellStyle name="表体文字 2 3 8" xfId="26134"/>
    <cellStyle name="表体文字 2 3 9" xfId="26135"/>
    <cellStyle name="表体文字 2 30" xfId="25957"/>
    <cellStyle name="表体文字 2 30 10" xfId="25959"/>
    <cellStyle name="表体文字 2 30 2" xfId="23385"/>
    <cellStyle name="表体文字 2 30 2 2" xfId="25961"/>
    <cellStyle name="表体文字 2 30 2 3" xfId="25963"/>
    <cellStyle name="表体文字 2 30 2 4" xfId="25965"/>
    <cellStyle name="表体文字 2 30 2 5" xfId="25967"/>
    <cellStyle name="表体文字 2 30 2 6" xfId="25970"/>
    <cellStyle name="表体文字 2 30 2 7" xfId="25974"/>
    <cellStyle name="表体文字 2 30 2 8" xfId="25978"/>
    <cellStyle name="表体文字 2 30 3" xfId="23389"/>
    <cellStyle name="表体文字 2 30 3 2" xfId="1028"/>
    <cellStyle name="表体文字 2 30 3 3" xfId="1035"/>
    <cellStyle name="表体文字 2 30 3 4" xfId="113"/>
    <cellStyle name="表体文字 2 30 3 5" xfId="1048"/>
    <cellStyle name="表体文字 2 30 3 6" xfId="25982"/>
    <cellStyle name="表体文字 2 30 3 7" xfId="25985"/>
    <cellStyle name="表体文字 2 30 3 8" xfId="25988"/>
    <cellStyle name="表体文字 2 30 4" xfId="23393"/>
    <cellStyle name="表体文字 2 30 5" xfId="24146"/>
    <cellStyle name="表体文字 2 30 6" xfId="25991"/>
    <cellStyle name="表体文字 2 30 7" xfId="6981"/>
    <cellStyle name="表体文字 2 30 8" xfId="7280"/>
    <cellStyle name="表体文字 2 30 9" xfId="7284"/>
    <cellStyle name="表体文字 2 31" xfId="25993"/>
    <cellStyle name="表体文字 2 31 10" xfId="879"/>
    <cellStyle name="表体文字 2 31 2" xfId="23427"/>
    <cellStyle name="表体文字 2 31 2 2" xfId="1803"/>
    <cellStyle name="表体文字 2 31 2 3" xfId="1812"/>
    <cellStyle name="表体文字 2 31 2 4" xfId="1821"/>
    <cellStyle name="表体文字 2 31 2 5" xfId="1832"/>
    <cellStyle name="表体文字 2 31 2 6" xfId="25995"/>
    <cellStyle name="表体文字 2 31 2 7" xfId="25998"/>
    <cellStyle name="表体文字 2 31 2 8" xfId="26001"/>
    <cellStyle name="表体文字 2 31 3" xfId="23431"/>
    <cellStyle name="表体文字 2 31 3 2" xfId="26004"/>
    <cellStyle name="表体文字 2 31 3 3" xfId="26006"/>
    <cellStyle name="表体文字 2 31 3 4" xfId="321"/>
    <cellStyle name="表体文字 2 31 3 5" xfId="827"/>
    <cellStyle name="表体文字 2 31 3 6" xfId="26008"/>
    <cellStyle name="表体文字 2 31 3 7" xfId="26010"/>
    <cellStyle name="表体文字 2 31 3 8" xfId="26012"/>
    <cellStyle name="表体文字 2 31 4" xfId="23435"/>
    <cellStyle name="表体文字 2 31 5" xfId="26014"/>
    <cellStyle name="表体文字 2 31 6" xfId="26016"/>
    <cellStyle name="表体文字 2 31 7" xfId="7303"/>
    <cellStyle name="表体文字 2 31 8" xfId="7311"/>
    <cellStyle name="表体文字 2 31 9" xfId="4245"/>
    <cellStyle name="表体文字 2 32" xfId="26018"/>
    <cellStyle name="表体文字 2 32 10" xfId="26020"/>
    <cellStyle name="表体文字 2 32 2" xfId="23467"/>
    <cellStyle name="表体文字 2 32 2 2" xfId="26022"/>
    <cellStyle name="表体文字 2 32 2 3" xfId="26024"/>
    <cellStyle name="表体文字 2 32 2 4" xfId="26026"/>
    <cellStyle name="表体文字 2 32 2 5" xfId="26028"/>
    <cellStyle name="表体文字 2 32 2 6" xfId="26030"/>
    <cellStyle name="表体文字 2 32 2 7" xfId="26032"/>
    <cellStyle name="表体文字 2 32 2 8" xfId="26034"/>
    <cellStyle name="表体文字 2 32 3" xfId="23473"/>
    <cellStyle name="表体文字 2 32 3 2" xfId="26036"/>
    <cellStyle name="表体文字 2 32 3 3" xfId="26038"/>
    <cellStyle name="表体文字 2 32 3 4" xfId="26040"/>
    <cellStyle name="表体文字 2 32 3 5" xfId="26042"/>
    <cellStyle name="表体文字 2 32 3 6" xfId="26044"/>
    <cellStyle name="表体文字 2 32 3 7" xfId="26046"/>
    <cellStyle name="表体文字 2 32 3 8" xfId="26048"/>
    <cellStyle name="表体文字 2 32 4" xfId="23477"/>
    <cellStyle name="表体文字 2 32 5" xfId="26050"/>
    <cellStyle name="表体文字 2 32 6" xfId="26052"/>
    <cellStyle name="表体文字 2 32 7" xfId="7319"/>
    <cellStyle name="表体文字 2 32 8" xfId="7327"/>
    <cellStyle name="表体文字 2 32 9" xfId="7335"/>
    <cellStyle name="表体文字 2 33" xfId="26056"/>
    <cellStyle name="表体文字 2 33 10" xfId="26058"/>
    <cellStyle name="表体文字 2 33 2" xfId="23543"/>
    <cellStyle name="表体文字 2 33 2 2" xfId="26060"/>
    <cellStyle name="表体文字 2 33 2 3" xfId="26062"/>
    <cellStyle name="表体文字 2 33 2 4" xfId="26064"/>
    <cellStyle name="表体文字 2 33 2 5" xfId="26067"/>
    <cellStyle name="表体文字 2 33 2 6" xfId="26070"/>
    <cellStyle name="表体文字 2 33 2 7" xfId="26073"/>
    <cellStyle name="表体文字 2 33 2 8" xfId="26076"/>
    <cellStyle name="表体文字 2 33 3" xfId="23547"/>
    <cellStyle name="表体文字 2 33 3 2" xfId="26078"/>
    <cellStyle name="表体文字 2 33 3 3" xfId="26080"/>
    <cellStyle name="表体文字 2 33 3 4" xfId="26082"/>
    <cellStyle name="表体文字 2 33 3 5" xfId="26085"/>
    <cellStyle name="表体文字 2 33 3 6" xfId="2521"/>
    <cellStyle name="表体文字 2 33 3 7" xfId="26088"/>
    <cellStyle name="表体文字 2 33 3 8" xfId="26091"/>
    <cellStyle name="表体文字 2 33 4" xfId="23551"/>
    <cellStyle name="表体文字 2 33 5" xfId="26093"/>
    <cellStyle name="表体文字 2 33 6" xfId="26095"/>
    <cellStyle name="表体文字 2 33 7" xfId="4899"/>
    <cellStyle name="表体文字 2 33 8" xfId="6993"/>
    <cellStyle name="表体文字 2 33 9" xfId="7004"/>
    <cellStyle name="表体文字 2 34" xfId="26099"/>
    <cellStyle name="表体文字 2 34 10" xfId="11145"/>
    <cellStyle name="表体文字 2 34 2" xfId="23581"/>
    <cellStyle name="表体文字 2 34 2 2" xfId="26101"/>
    <cellStyle name="表体文字 2 34 2 3" xfId="26103"/>
    <cellStyle name="表体文字 2 34 2 4" xfId="26105"/>
    <cellStyle name="表体文字 2 34 2 5" xfId="26107"/>
    <cellStyle name="表体文字 2 34 2 6" xfId="9981"/>
    <cellStyle name="表体文字 2 34 2 7" xfId="9984"/>
    <cellStyle name="表体文字 2 34 2 8" xfId="9994"/>
    <cellStyle name="表体文字 2 34 3" xfId="23585"/>
    <cellStyle name="表体文字 2 34 3 2" xfId="26109"/>
    <cellStyle name="表体文字 2 34 3 3" xfId="13329"/>
    <cellStyle name="表体文字 2 34 3 4" xfId="15481"/>
    <cellStyle name="表体文字 2 34 3 5" xfId="15785"/>
    <cellStyle name="表体文字 2 34 3 6" xfId="10005"/>
    <cellStyle name="表体文字 2 34 3 7" xfId="10013"/>
    <cellStyle name="表体文字 2 34 3 8" xfId="5209"/>
    <cellStyle name="表体文字 2 34 4" xfId="23589"/>
    <cellStyle name="表体文字 2 34 5" xfId="26111"/>
    <cellStyle name="表体文字 2 34 6" xfId="26113"/>
    <cellStyle name="表体文字 2 34 7" xfId="26115"/>
    <cellStyle name="表体文字 2 34 8" xfId="26117"/>
    <cellStyle name="表体文字 2 34 9" xfId="26119"/>
    <cellStyle name="表体文字 2 35" xfId="26136"/>
    <cellStyle name="表体文字 2 35 10" xfId="26138"/>
    <cellStyle name="表体文字 2 35 2" xfId="23614"/>
    <cellStyle name="表体文字 2 35 2 2" xfId="4762"/>
    <cellStyle name="表体文字 2 35 2 3" xfId="4767"/>
    <cellStyle name="表体文字 2 35 2 4" xfId="4781"/>
    <cellStyle name="表体文字 2 35 2 5" xfId="3692"/>
    <cellStyle name="表体文字 2 35 2 6" xfId="3715"/>
    <cellStyle name="表体文字 2 35 2 7" xfId="3731"/>
    <cellStyle name="表体文字 2 35 2 8" xfId="3749"/>
    <cellStyle name="表体文字 2 35 3" xfId="23618"/>
    <cellStyle name="表体文字 2 35 3 2" xfId="7038"/>
    <cellStyle name="表体文字 2 35 3 3" xfId="7041"/>
    <cellStyle name="表体文字 2 35 3 4" xfId="131"/>
    <cellStyle name="表体文字 2 35 3 5" xfId="3829"/>
    <cellStyle name="表体文字 2 35 3 6" xfId="3853"/>
    <cellStyle name="表体文字 2 35 3 7" xfId="3892"/>
    <cellStyle name="表体文字 2 35 3 8" xfId="3901"/>
    <cellStyle name="表体文字 2 35 4" xfId="23622"/>
    <cellStyle name="表体文字 2 35 5" xfId="24194"/>
    <cellStyle name="表体文字 2 35 6" xfId="26140"/>
    <cellStyle name="表体文字 2 35 7" xfId="26142"/>
    <cellStyle name="表体文字 2 35 8" xfId="26144"/>
    <cellStyle name="表体文字 2 35 9" xfId="26146"/>
    <cellStyle name="表体文字 2 36" xfId="26148"/>
    <cellStyle name="表体文字 2 36 10" xfId="26150"/>
    <cellStyle name="表体文字 2 36 2" xfId="23659"/>
    <cellStyle name="表体文字 2 36 2 2" xfId="26152"/>
    <cellStyle name="表体文字 2 36 2 3" xfId="26154"/>
    <cellStyle name="表体文字 2 36 2 4" xfId="26156"/>
    <cellStyle name="表体文字 2 36 2 5" xfId="26158"/>
    <cellStyle name="表体文字 2 36 2 6" xfId="26160"/>
    <cellStyle name="表体文字 2 36 2 7" xfId="26162"/>
    <cellStyle name="表体文字 2 36 2 8" xfId="26164"/>
    <cellStyle name="表体文字 2 36 3" xfId="23663"/>
    <cellStyle name="表体文字 2 36 3 2" xfId="26166"/>
    <cellStyle name="表体文字 2 36 3 3" xfId="26168"/>
    <cellStyle name="表体文字 2 36 3 4" xfId="26170"/>
    <cellStyle name="表体文字 2 36 3 5" xfId="26172"/>
    <cellStyle name="表体文字 2 36 3 6" xfId="26174"/>
    <cellStyle name="表体文字 2 36 3 7" xfId="26176"/>
    <cellStyle name="表体文字 2 36 3 8" xfId="26178"/>
    <cellStyle name="表体文字 2 36 4" xfId="23667"/>
    <cellStyle name="表体文字 2 36 5" xfId="26180"/>
    <cellStyle name="表体文字 2 36 6" xfId="26182"/>
    <cellStyle name="表体文字 2 36 7" xfId="26184"/>
    <cellStyle name="表体文字 2 36 8" xfId="26186"/>
    <cellStyle name="表体文字 2 36 9" xfId="26189"/>
    <cellStyle name="表体文字 2 37" xfId="8971"/>
    <cellStyle name="表体文字 2 37 10" xfId="26192"/>
    <cellStyle name="表体文字 2 37 2" xfId="13353"/>
    <cellStyle name="表体文字 2 37 2 2" xfId="2228"/>
    <cellStyle name="表体文字 2 37 2 3" xfId="2237"/>
    <cellStyle name="表体文字 2 37 2 4" xfId="2245"/>
    <cellStyle name="表体文字 2 37 2 5" xfId="2589"/>
    <cellStyle name="表体文字 2 37 2 6" xfId="1115"/>
    <cellStyle name="表体文字 2 37 2 7" xfId="1119"/>
    <cellStyle name="表体文字 2 37 2 8" xfId="2593"/>
    <cellStyle name="表体文字 2 37 3" xfId="23691"/>
    <cellStyle name="表体文字 2 37 3 2" xfId="26194"/>
    <cellStyle name="表体文字 2 37 3 3" xfId="26196"/>
    <cellStyle name="表体文字 2 37 3 4" xfId="26198"/>
    <cellStyle name="表体文字 2 37 3 5" xfId="26200"/>
    <cellStyle name="表体文字 2 37 3 6" xfId="26202"/>
    <cellStyle name="表体文字 2 37 3 7" xfId="26204"/>
    <cellStyle name="表体文字 2 37 3 8" xfId="26206"/>
    <cellStyle name="表体文字 2 37 4" xfId="23695"/>
    <cellStyle name="表体文字 2 37 5" xfId="26208"/>
    <cellStyle name="表体文字 2 37 6" xfId="26210"/>
    <cellStyle name="表体文字 2 37 7" xfId="26212"/>
    <cellStyle name="表体文字 2 37 8" xfId="26214"/>
    <cellStyle name="表体文字 2 37 9" xfId="26217"/>
    <cellStyle name="表体文字 2 38" xfId="4410"/>
    <cellStyle name="表体文字 2 38 10" xfId="26220"/>
    <cellStyle name="表体文字 2 38 2" xfId="10277"/>
    <cellStyle name="表体文字 2 38 2 2" xfId="26222"/>
    <cellStyle name="表体文字 2 38 2 3" xfId="26224"/>
    <cellStyle name="表体文字 2 38 2 4" xfId="26226"/>
    <cellStyle name="表体文字 2 38 2 5" xfId="26228"/>
    <cellStyle name="表体文字 2 38 2 6" xfId="26230"/>
    <cellStyle name="表体文字 2 38 2 7" xfId="26232"/>
    <cellStyle name="表体文字 2 38 2 8" xfId="26234"/>
    <cellStyle name="表体文字 2 38 3" xfId="23752"/>
    <cellStyle name="表体文字 2 38 3 2" xfId="10909"/>
    <cellStyle name="表体文字 2 38 3 3" xfId="10959"/>
    <cellStyle name="表体文字 2 38 3 4" xfId="11269"/>
    <cellStyle name="表体文字 2 38 3 5" xfId="11272"/>
    <cellStyle name="表体文字 2 38 3 6" xfId="11275"/>
    <cellStyle name="表体文字 2 38 3 7" xfId="11278"/>
    <cellStyle name="表体文字 2 38 3 8" xfId="26236"/>
    <cellStyle name="表体文字 2 38 4" xfId="23756"/>
    <cellStyle name="表体文字 2 38 5" xfId="26238"/>
    <cellStyle name="表体文字 2 38 6" xfId="26240"/>
    <cellStyle name="表体文字 2 38 7" xfId="26242"/>
    <cellStyle name="表体文字 2 38 8" xfId="26244"/>
    <cellStyle name="表体文字 2 38 9" xfId="26247"/>
    <cellStyle name="表体文字 2 39" xfId="4421"/>
    <cellStyle name="表体文字 2 39 10" xfId="26250"/>
    <cellStyle name="表体文字 2 39 2" xfId="10306"/>
    <cellStyle name="表体文字 2 39 2 2" xfId="26252"/>
    <cellStyle name="表体文字 2 39 2 3" xfId="26254"/>
    <cellStyle name="表体文字 2 39 2 4" xfId="26256"/>
    <cellStyle name="表体文字 2 39 2 5" xfId="26258"/>
    <cellStyle name="表体文字 2 39 2 6" xfId="26260"/>
    <cellStyle name="表体文字 2 39 2 7" xfId="26262"/>
    <cellStyle name="表体文字 2 39 2 8" xfId="26264"/>
    <cellStyle name="表体文字 2 39 3" xfId="23782"/>
    <cellStyle name="表体文字 2 39 3 2" xfId="26266"/>
    <cellStyle name="表体文字 2 39 3 3" xfId="26269"/>
    <cellStyle name="表体文字 2 39 3 4" xfId="26271"/>
    <cellStyle name="表体文字 2 39 3 5" xfId="26273"/>
    <cellStyle name="表体文字 2 39 3 6" xfId="26275"/>
    <cellStyle name="表体文字 2 39 3 7" xfId="26277"/>
    <cellStyle name="表体文字 2 39 3 8" xfId="973"/>
    <cellStyle name="表体文字 2 39 4" xfId="23786"/>
    <cellStyle name="表体文字 2 39 5" xfId="26279"/>
    <cellStyle name="表体文字 2 39 6" xfId="26281"/>
    <cellStyle name="表体文字 2 39 7" xfId="26283"/>
    <cellStyle name="表体文字 2 39 8" xfId="26285"/>
    <cellStyle name="表体文字 2 39 9" xfId="26288"/>
    <cellStyle name="表体文字 2 4" xfId="26291"/>
    <cellStyle name="表体文字 2 4 10" xfId="23968"/>
    <cellStyle name="表体文字 2 4 2" xfId="8115"/>
    <cellStyle name="表体文字 2 4 2 2" xfId="26292"/>
    <cellStyle name="表体文字 2 4 2 3" xfId="26293"/>
    <cellStyle name="表体文字 2 4 2 4" xfId="26294"/>
    <cellStyle name="表体文字 2 4 2 5" xfId="26295"/>
    <cellStyle name="表体文字 2 4 2 6" xfId="26296"/>
    <cellStyle name="表体文字 2 4 2 7" xfId="26297"/>
    <cellStyle name="表体文字 2 4 2 8" xfId="26298"/>
    <cellStyle name="表体文字 2 4 3" xfId="26299"/>
    <cellStyle name="表体文字 2 4 3 2" xfId="26300"/>
    <cellStyle name="表体文字 2 4 3 3" xfId="26301"/>
    <cellStyle name="表体文字 2 4 3 4" xfId="26302"/>
    <cellStyle name="表体文字 2 4 3 5" xfId="26303"/>
    <cellStyle name="表体文字 2 4 3 6" xfId="26304"/>
    <cellStyle name="表体文字 2 4 3 7" xfId="26305"/>
    <cellStyle name="表体文字 2 4 3 8" xfId="26306"/>
    <cellStyle name="表体文字 2 4 4" xfId="26307"/>
    <cellStyle name="表体文字 2 4 5" xfId="26308"/>
    <cellStyle name="表体文字 2 4 6" xfId="26309"/>
    <cellStyle name="表体文字 2 4 7" xfId="26310"/>
    <cellStyle name="表体文字 2 4 8" xfId="26311"/>
    <cellStyle name="表体文字 2 4 9" xfId="12845"/>
    <cellStyle name="表体文字 2 40" xfId="26137"/>
    <cellStyle name="表体文字 2 40 10" xfId="26139"/>
    <cellStyle name="表体文字 2 40 2" xfId="23615"/>
    <cellStyle name="表体文字 2 40 2 2" xfId="4763"/>
    <cellStyle name="表体文字 2 40 2 3" xfId="4768"/>
    <cellStyle name="表体文字 2 40 2 4" xfId="4782"/>
    <cellStyle name="表体文字 2 40 2 5" xfId="3691"/>
    <cellStyle name="表体文字 2 40 2 6" xfId="3714"/>
    <cellStyle name="表体文字 2 40 2 7" xfId="3730"/>
    <cellStyle name="表体文字 2 40 2 8" xfId="3748"/>
    <cellStyle name="表体文字 2 40 3" xfId="23619"/>
    <cellStyle name="表体文字 2 40 3 2" xfId="7039"/>
    <cellStyle name="表体文字 2 40 3 3" xfId="7042"/>
    <cellStyle name="表体文字 2 40 3 4" xfId="132"/>
    <cellStyle name="表体文字 2 40 3 5" xfId="3828"/>
    <cellStyle name="表体文字 2 40 3 6" xfId="3852"/>
    <cellStyle name="表体文字 2 40 3 7" xfId="3891"/>
    <cellStyle name="表体文字 2 40 3 8" xfId="3900"/>
    <cellStyle name="表体文字 2 40 4" xfId="23623"/>
    <cellStyle name="表体文字 2 40 5" xfId="24195"/>
    <cellStyle name="表体文字 2 40 6" xfId="26141"/>
    <cellStyle name="表体文字 2 40 7" xfId="26143"/>
    <cellStyle name="表体文字 2 40 8" xfId="26145"/>
    <cellStyle name="表体文字 2 40 9" xfId="26147"/>
    <cellStyle name="表体文字 2 41" xfId="26149"/>
    <cellStyle name="表体文字 2 41 10" xfId="26151"/>
    <cellStyle name="表体文字 2 41 2" xfId="23660"/>
    <cellStyle name="表体文字 2 41 2 2" xfId="26153"/>
    <cellStyle name="表体文字 2 41 2 3" xfId="26155"/>
    <cellStyle name="表体文字 2 41 2 4" xfId="26157"/>
    <cellStyle name="表体文字 2 41 2 5" xfId="26159"/>
    <cellStyle name="表体文字 2 41 2 6" xfId="26161"/>
    <cellStyle name="表体文字 2 41 2 7" xfId="26163"/>
    <cellStyle name="表体文字 2 41 2 8" xfId="26165"/>
    <cellStyle name="表体文字 2 41 3" xfId="23664"/>
    <cellStyle name="表体文字 2 41 3 2" xfId="26167"/>
    <cellStyle name="表体文字 2 41 3 3" xfId="26169"/>
    <cellStyle name="表体文字 2 41 3 4" xfId="26171"/>
    <cellStyle name="表体文字 2 41 3 5" xfId="26173"/>
    <cellStyle name="表体文字 2 41 3 6" xfId="26175"/>
    <cellStyle name="表体文字 2 41 3 7" xfId="26177"/>
    <cellStyle name="表体文字 2 41 3 8" xfId="26179"/>
    <cellStyle name="表体文字 2 41 4" xfId="23668"/>
    <cellStyle name="表体文字 2 41 5" xfId="26181"/>
    <cellStyle name="表体文字 2 41 6" xfId="26183"/>
    <cellStyle name="表体文字 2 41 7" xfId="26185"/>
    <cellStyle name="表体文字 2 41 8" xfId="26187"/>
    <cellStyle name="表体文字 2 41 9" xfId="26190"/>
    <cellStyle name="表体文字 2 42" xfId="8972"/>
    <cellStyle name="表体文字 2 42 10" xfId="26193"/>
    <cellStyle name="表体文字 2 42 2" xfId="13354"/>
    <cellStyle name="表体文字 2 42 2 2" xfId="2227"/>
    <cellStyle name="表体文字 2 42 2 3" xfId="2236"/>
    <cellStyle name="表体文字 2 42 2 4" xfId="2244"/>
    <cellStyle name="表体文字 2 42 2 5" xfId="2588"/>
    <cellStyle name="表体文字 2 42 2 6" xfId="1114"/>
    <cellStyle name="表体文字 2 42 2 7" xfId="1118"/>
    <cellStyle name="表体文字 2 42 2 8" xfId="2592"/>
    <cellStyle name="表体文字 2 42 3" xfId="23692"/>
    <cellStyle name="表体文字 2 42 3 2" xfId="26195"/>
    <cellStyle name="表体文字 2 42 3 3" xfId="26197"/>
    <cellStyle name="表体文字 2 42 3 4" xfId="26199"/>
    <cellStyle name="表体文字 2 42 3 5" xfId="26201"/>
    <cellStyle name="表体文字 2 42 3 6" xfId="26203"/>
    <cellStyle name="表体文字 2 42 3 7" xfId="26205"/>
    <cellStyle name="表体文字 2 42 3 8" xfId="26207"/>
    <cellStyle name="表体文字 2 42 4" xfId="23696"/>
    <cellStyle name="表体文字 2 42 5" xfId="26209"/>
    <cellStyle name="表体文字 2 42 6" xfId="26211"/>
    <cellStyle name="表体文字 2 42 7" xfId="26213"/>
    <cellStyle name="表体文字 2 42 8" xfId="26215"/>
    <cellStyle name="表体文字 2 42 9" xfId="26218"/>
    <cellStyle name="表体文字 2 43" xfId="4411"/>
    <cellStyle name="表体文字 2 43 10" xfId="26221"/>
    <cellStyle name="表体文字 2 43 2" xfId="10278"/>
    <cellStyle name="表体文字 2 43 2 2" xfId="26223"/>
    <cellStyle name="表体文字 2 43 2 3" xfId="26225"/>
    <cellStyle name="表体文字 2 43 2 4" xfId="26227"/>
    <cellStyle name="表体文字 2 43 2 5" xfId="26229"/>
    <cellStyle name="表体文字 2 43 2 6" xfId="26231"/>
    <cellStyle name="表体文字 2 43 2 7" xfId="26233"/>
    <cellStyle name="表体文字 2 43 2 8" xfId="26235"/>
    <cellStyle name="表体文字 2 43 3" xfId="23753"/>
    <cellStyle name="表体文字 2 43 3 2" xfId="10910"/>
    <cellStyle name="表体文字 2 43 3 3" xfId="10960"/>
    <cellStyle name="表体文字 2 43 3 4" xfId="11270"/>
    <cellStyle name="表体文字 2 43 3 5" xfId="11273"/>
    <cellStyle name="表体文字 2 43 3 6" xfId="11276"/>
    <cellStyle name="表体文字 2 43 3 7" xfId="11279"/>
    <cellStyle name="表体文字 2 43 3 8" xfId="26237"/>
    <cellStyle name="表体文字 2 43 4" xfId="23757"/>
    <cellStyle name="表体文字 2 43 5" xfId="26239"/>
    <cellStyle name="表体文字 2 43 6" xfId="26241"/>
    <cellStyle name="表体文字 2 43 7" xfId="26243"/>
    <cellStyle name="表体文字 2 43 8" xfId="26245"/>
    <cellStyle name="表体文字 2 43 9" xfId="26248"/>
    <cellStyle name="表体文字 2 44" xfId="4422"/>
    <cellStyle name="表体文字 2 44 10" xfId="26251"/>
    <cellStyle name="表体文字 2 44 2" xfId="10307"/>
    <cellStyle name="表体文字 2 44 2 2" xfId="26253"/>
    <cellStyle name="表体文字 2 44 2 3" xfId="26255"/>
    <cellStyle name="表体文字 2 44 2 4" xfId="26257"/>
    <cellStyle name="表体文字 2 44 2 5" xfId="26259"/>
    <cellStyle name="表体文字 2 44 2 6" xfId="26261"/>
    <cellStyle name="表体文字 2 44 2 7" xfId="26263"/>
    <cellStyle name="表体文字 2 44 2 8" xfId="26265"/>
    <cellStyle name="表体文字 2 44 3" xfId="23783"/>
    <cellStyle name="表体文字 2 44 3 2" xfId="26267"/>
    <cellStyle name="表体文字 2 44 3 3" xfId="26270"/>
    <cellStyle name="表体文字 2 44 3 4" xfId="26272"/>
    <cellStyle name="表体文字 2 44 3 5" xfId="26274"/>
    <cellStyle name="表体文字 2 44 3 6" xfId="26276"/>
    <cellStyle name="表体文字 2 44 3 7" xfId="26278"/>
    <cellStyle name="表体文字 2 44 3 8" xfId="972"/>
    <cellStyle name="表体文字 2 44 4" xfId="23787"/>
    <cellStyle name="表体文字 2 44 5" xfId="26280"/>
    <cellStyle name="表体文字 2 44 6" xfId="26282"/>
    <cellStyle name="表体文字 2 44 7" xfId="26284"/>
    <cellStyle name="表体文字 2 44 8" xfId="26286"/>
    <cellStyle name="表体文字 2 44 9" xfId="26289"/>
    <cellStyle name="表体文字 2 45" xfId="26312"/>
    <cellStyle name="表体文字 2 45 10" xfId="26314"/>
    <cellStyle name="表体文字 2 45 2" xfId="23823"/>
    <cellStyle name="表体文字 2 45 2 2" xfId="6117"/>
    <cellStyle name="表体文字 2 45 2 3" xfId="6120"/>
    <cellStyle name="表体文字 2 45 2 4" xfId="4218"/>
    <cellStyle name="表体文字 2 45 2 5" xfId="26317"/>
    <cellStyle name="表体文字 2 45 2 6" xfId="26319"/>
    <cellStyle name="表体文字 2 45 2 7" xfId="26321"/>
    <cellStyle name="表体文字 2 45 2 8" xfId="26323"/>
    <cellStyle name="表体文字 2 45 3" xfId="23827"/>
    <cellStyle name="表体文字 2 45 3 2" xfId="26326"/>
    <cellStyle name="表体文字 2 45 3 3" xfId="719"/>
    <cellStyle name="表体文字 2 45 3 4" xfId="456"/>
    <cellStyle name="表体文字 2 45 3 5" xfId="26330"/>
    <cellStyle name="表体文字 2 45 3 6" xfId="26333"/>
    <cellStyle name="表体文字 2 45 3 7" xfId="26336"/>
    <cellStyle name="表体文字 2 45 3 8" xfId="26340"/>
    <cellStyle name="表体文字 2 45 4" xfId="23831"/>
    <cellStyle name="表体文字 2 45 5" xfId="24216"/>
    <cellStyle name="表体文字 2 45 6" xfId="26342"/>
    <cellStyle name="表体文字 2 45 7" xfId="26344"/>
    <cellStyle name="表体文字 2 45 8" xfId="26346"/>
    <cellStyle name="表体文字 2 45 9" xfId="26349"/>
    <cellStyle name="表体文字 2 46" xfId="26352"/>
    <cellStyle name="表体文字 2 46 10" xfId="26354"/>
    <cellStyle name="表体文字 2 46 2" xfId="3317"/>
    <cellStyle name="表体文字 2 46 2 2" xfId="26357"/>
    <cellStyle name="表体文字 2 46 2 3" xfId="26359"/>
    <cellStyle name="表体文字 2 46 2 4" xfId="26361"/>
    <cellStyle name="表体文字 2 46 2 5" xfId="26363"/>
    <cellStyle name="表体文字 2 46 2 6" xfId="26365"/>
    <cellStyle name="表体文字 2 46 2 7" xfId="26367"/>
    <cellStyle name="表体文字 2 46 2 8" xfId="26369"/>
    <cellStyle name="表体文字 2 46 3" xfId="3324"/>
    <cellStyle name="表体文字 2 46 3 2" xfId="26371"/>
    <cellStyle name="表体文字 2 46 3 3" xfId="26374"/>
    <cellStyle name="表体文字 2 46 3 4" xfId="26376"/>
    <cellStyle name="表体文字 2 46 3 5" xfId="26378"/>
    <cellStyle name="表体文字 2 46 3 6" xfId="26380"/>
    <cellStyle name="表体文字 2 46 3 7" xfId="26382"/>
    <cellStyle name="表体文字 2 46 3 8" xfId="26384"/>
    <cellStyle name="表体文字 2 46 4" xfId="3331"/>
    <cellStyle name="表体文字 2 46 5" xfId="3351"/>
    <cellStyle name="表体文字 2 46 6" xfId="3354"/>
    <cellStyle name="表体文字 2 46 7" xfId="3357"/>
    <cellStyle name="表体文字 2 46 8" xfId="3363"/>
    <cellStyle name="表体文字 2 46 9" xfId="3368"/>
    <cellStyle name="表体文字 2 47" xfId="26386"/>
    <cellStyle name="表体文字 2 47 10" xfId="26390"/>
    <cellStyle name="表体文字 2 47 2" xfId="23871"/>
    <cellStyle name="表体文字 2 47 2 2" xfId="26392"/>
    <cellStyle name="表体文字 2 47 2 3" xfId="26394"/>
    <cellStyle name="表体文字 2 47 2 4" xfId="26396"/>
    <cellStyle name="表体文字 2 47 2 5" xfId="26398"/>
    <cellStyle name="表体文字 2 47 2 6" xfId="26400"/>
    <cellStyle name="表体文字 2 47 2 7" xfId="26402"/>
    <cellStyle name="表体文字 2 47 2 8" xfId="26404"/>
    <cellStyle name="表体文字 2 47 3" xfId="23877"/>
    <cellStyle name="表体文字 2 47 3 2" xfId="26406"/>
    <cellStyle name="表体文字 2 47 3 3" xfId="5721"/>
    <cellStyle name="表体文字 2 47 3 4" xfId="3036"/>
    <cellStyle name="表体文字 2 47 3 5" xfId="26409"/>
    <cellStyle name="表体文字 2 47 3 6" xfId="26411"/>
    <cellStyle name="表体文字 2 47 3 7" xfId="26413"/>
    <cellStyle name="表体文字 2 47 3 8" xfId="26415"/>
    <cellStyle name="表体文字 2 47 4" xfId="23881"/>
    <cellStyle name="表体文字 2 47 5" xfId="26417"/>
    <cellStyle name="表体文字 2 47 6" xfId="26419"/>
    <cellStyle name="表体文字 2 47 7" xfId="26421"/>
    <cellStyle name="表体文字 2 47 8" xfId="26423"/>
    <cellStyle name="表体文字 2 47 9" xfId="26427"/>
    <cellStyle name="表体文字 2 48" xfId="26431"/>
    <cellStyle name="表体文字 2 48 10" xfId="26435"/>
    <cellStyle name="表体文字 2 48 2" xfId="23926"/>
    <cellStyle name="表体文字 2 48 2 2" xfId="26438"/>
    <cellStyle name="表体文字 2 48 2 3" xfId="26440"/>
    <cellStyle name="表体文字 2 48 2 4" xfId="26442"/>
    <cellStyle name="表体文字 2 48 2 5" xfId="26444"/>
    <cellStyle name="表体文字 2 48 2 6" xfId="26446"/>
    <cellStyle name="表体文字 2 48 2 7" xfId="26448"/>
    <cellStyle name="表体文字 2 48 2 8" xfId="26450"/>
    <cellStyle name="表体文字 2 48 3" xfId="23930"/>
    <cellStyle name="表体文字 2 48 3 2" xfId="26452"/>
    <cellStyle name="表体文字 2 48 3 3" xfId="26457"/>
    <cellStyle name="表体文字 2 48 3 4" xfId="26461"/>
    <cellStyle name="表体文字 2 48 3 5" xfId="26465"/>
    <cellStyle name="表体文字 2 48 3 6" xfId="26469"/>
    <cellStyle name="表体文字 2 48 3 7" xfId="26473"/>
    <cellStyle name="表体文字 2 48 3 8" xfId="26477"/>
    <cellStyle name="表体文字 2 48 4" xfId="23934"/>
    <cellStyle name="表体文字 2 48 5" xfId="26481"/>
    <cellStyle name="表体文字 2 48 6" xfId="26483"/>
    <cellStyle name="表体文字 2 48 7" xfId="26485"/>
    <cellStyle name="表体文字 2 48 8" xfId="26487"/>
    <cellStyle name="表体文字 2 48 9" xfId="26491"/>
    <cellStyle name="表体文字 2 49" xfId="26495"/>
    <cellStyle name="表体文字 2 49 10" xfId="26500"/>
    <cellStyle name="表体文字 2 49 2" xfId="23985"/>
    <cellStyle name="表体文字 2 49 2 2" xfId="25786"/>
    <cellStyle name="表体文字 2 49 2 3" xfId="4808"/>
    <cellStyle name="表体文字 2 49 2 4" xfId="3790"/>
    <cellStyle name="表体文字 2 49 2 5" xfId="3799"/>
    <cellStyle name="表体文字 2 49 2 6" xfId="7144"/>
    <cellStyle name="表体文字 2 49 2 7" xfId="7150"/>
    <cellStyle name="表体文字 2 49 2 8" xfId="7158"/>
    <cellStyle name="表体文字 2 49 3" xfId="23990"/>
    <cellStyle name="表体文字 2 49 3 2" xfId="25863"/>
    <cellStyle name="表体文字 2 49 3 3" xfId="4827"/>
    <cellStyle name="表体文字 2 49 3 4" xfId="3810"/>
    <cellStyle name="表体文字 2 49 3 5" xfId="3816"/>
    <cellStyle name="表体文字 2 49 3 6" xfId="7175"/>
    <cellStyle name="表体文字 2 49 3 7" xfId="7180"/>
    <cellStyle name="表体文字 2 49 3 8" xfId="7186"/>
    <cellStyle name="表体文字 2 49 4" xfId="23995"/>
    <cellStyle name="表体文字 2 49 5" xfId="26503"/>
    <cellStyle name="表体文字 2 49 6" xfId="26505"/>
    <cellStyle name="表体文字 2 49 7" xfId="26507"/>
    <cellStyle name="表体文字 2 49 8" xfId="26509"/>
    <cellStyle name="表体文字 2 49 9" xfId="26513"/>
    <cellStyle name="表体文字 2 5" xfId="26517"/>
    <cellStyle name="表体文字 2 5 10" xfId="7176"/>
    <cellStyle name="表体文字 2 5 2" xfId="8159"/>
    <cellStyle name="表体文字 2 5 2 2" xfId="26518"/>
    <cellStyle name="表体文字 2 5 2 3" xfId="26520"/>
    <cellStyle name="表体文字 2 5 2 4" xfId="26522"/>
    <cellStyle name="表体文字 2 5 2 5" xfId="26524"/>
    <cellStyle name="表体文字 2 5 2 6" xfId="26527"/>
    <cellStyle name="表体文字 2 5 2 7" xfId="26530"/>
    <cellStyle name="表体文字 2 5 2 8" xfId="26533"/>
    <cellStyle name="表体文字 2 5 3" xfId="26536"/>
    <cellStyle name="表体文字 2 5 3 2" xfId="26537"/>
    <cellStyle name="表体文字 2 5 3 3" xfId="26540"/>
    <cellStyle name="表体文字 2 5 3 4" xfId="26543"/>
    <cellStyle name="表体文字 2 5 3 5" xfId="26546"/>
    <cellStyle name="表体文字 2 5 3 6" xfId="26549"/>
    <cellStyle name="表体文字 2 5 3 7" xfId="26552"/>
    <cellStyle name="表体文字 2 5 3 8" xfId="26555"/>
    <cellStyle name="表体文字 2 5 4" xfId="26558"/>
    <cellStyle name="表体文字 2 5 5" xfId="26559"/>
    <cellStyle name="表体文字 2 5 6" xfId="7090"/>
    <cellStyle name="表体文字 2 5 7" xfId="6038"/>
    <cellStyle name="表体文字 2 5 8" xfId="6041"/>
    <cellStyle name="表体文字 2 5 9" xfId="7119"/>
    <cellStyle name="表体文字 2 50" xfId="26313"/>
    <cellStyle name="表体文字 2 50 10" xfId="26315"/>
    <cellStyle name="表体文字 2 50 2" xfId="23824"/>
    <cellStyle name="表体文字 2 50 2 2" xfId="6118"/>
    <cellStyle name="表体文字 2 50 2 3" xfId="6121"/>
    <cellStyle name="表体文字 2 50 2 4" xfId="4219"/>
    <cellStyle name="表体文字 2 50 2 5" xfId="26318"/>
    <cellStyle name="表体文字 2 50 2 6" xfId="26320"/>
    <cellStyle name="表体文字 2 50 2 7" xfId="26322"/>
    <cellStyle name="表体文字 2 50 2 8" xfId="26324"/>
    <cellStyle name="表体文字 2 50 3" xfId="23828"/>
    <cellStyle name="表体文字 2 50 3 2" xfId="26327"/>
    <cellStyle name="表体文字 2 50 3 3" xfId="718"/>
    <cellStyle name="表体文字 2 50 3 4" xfId="457"/>
    <cellStyle name="表体文字 2 50 3 5" xfId="26331"/>
    <cellStyle name="表体文字 2 50 3 6" xfId="26334"/>
    <cellStyle name="表体文字 2 50 3 7" xfId="26337"/>
    <cellStyle name="表体文字 2 50 3 8" xfId="26341"/>
    <cellStyle name="表体文字 2 50 4" xfId="23832"/>
    <cellStyle name="表体文字 2 50 5" xfId="24217"/>
    <cellStyle name="表体文字 2 50 6" xfId="26343"/>
    <cellStyle name="表体文字 2 50 7" xfId="26345"/>
    <cellStyle name="表体文字 2 50 8" xfId="26347"/>
    <cellStyle name="表体文字 2 50 9" xfId="26350"/>
    <cellStyle name="表体文字 2 51" xfId="26353"/>
    <cellStyle name="表体文字 2 51 10" xfId="26355"/>
    <cellStyle name="表体文字 2 51 2" xfId="3316"/>
    <cellStyle name="表体文字 2 51 2 2" xfId="26358"/>
    <cellStyle name="表体文字 2 51 2 3" xfId="26360"/>
    <cellStyle name="表体文字 2 51 2 4" xfId="26362"/>
    <cellStyle name="表体文字 2 51 2 5" xfId="26364"/>
    <cellStyle name="表体文字 2 51 2 6" xfId="26366"/>
    <cellStyle name="表体文字 2 51 2 7" xfId="26368"/>
    <cellStyle name="表体文字 2 51 2 8" xfId="26370"/>
    <cellStyle name="表体文字 2 51 3" xfId="3323"/>
    <cellStyle name="表体文字 2 51 3 2" xfId="26372"/>
    <cellStyle name="表体文字 2 51 3 3" xfId="26375"/>
    <cellStyle name="表体文字 2 51 3 4" xfId="26377"/>
    <cellStyle name="表体文字 2 51 3 5" xfId="26379"/>
    <cellStyle name="表体文字 2 51 3 6" xfId="26381"/>
    <cellStyle name="表体文字 2 51 3 7" xfId="26383"/>
    <cellStyle name="表体文字 2 51 3 8" xfId="26385"/>
    <cellStyle name="表体文字 2 51 4" xfId="3330"/>
    <cellStyle name="表体文字 2 51 5" xfId="3350"/>
    <cellStyle name="表体文字 2 51 6" xfId="3353"/>
    <cellStyle name="表体文字 2 51 7" xfId="3356"/>
    <cellStyle name="表体文字 2 51 8" xfId="3362"/>
    <cellStyle name="表体文字 2 51 9" xfId="3367"/>
    <cellStyle name="表体文字 2 52" xfId="26387"/>
    <cellStyle name="表体文字 2 52 10" xfId="26391"/>
    <cellStyle name="表体文字 2 52 2" xfId="23872"/>
    <cellStyle name="表体文字 2 52 2 2" xfId="26393"/>
    <cellStyle name="表体文字 2 52 2 3" xfId="26395"/>
    <cellStyle name="表体文字 2 52 2 4" xfId="26397"/>
    <cellStyle name="表体文字 2 52 2 5" xfId="26399"/>
    <cellStyle name="表体文字 2 52 2 6" xfId="26401"/>
    <cellStyle name="表体文字 2 52 2 7" xfId="26403"/>
    <cellStyle name="表体文字 2 52 2 8" xfId="26405"/>
    <cellStyle name="表体文字 2 52 3" xfId="23878"/>
    <cellStyle name="表体文字 2 52 3 2" xfId="26407"/>
    <cellStyle name="表体文字 2 52 3 3" xfId="5722"/>
    <cellStyle name="表体文字 2 52 3 4" xfId="3035"/>
    <cellStyle name="表体文字 2 52 3 5" xfId="26410"/>
    <cellStyle name="表体文字 2 52 3 6" xfId="26412"/>
    <cellStyle name="表体文字 2 52 3 7" xfId="26414"/>
    <cellStyle name="表体文字 2 52 3 8" xfId="26416"/>
    <cellStyle name="表体文字 2 52 4" xfId="23882"/>
    <cellStyle name="表体文字 2 52 5" xfId="26418"/>
    <cellStyle name="表体文字 2 52 6" xfId="26420"/>
    <cellStyle name="表体文字 2 52 7" xfId="26422"/>
    <cellStyle name="表体文字 2 52 8" xfId="26424"/>
    <cellStyle name="表体文字 2 52 9" xfId="26428"/>
    <cellStyle name="表体文字 2 53" xfId="26432"/>
    <cellStyle name="表体文字 2 53 10" xfId="26436"/>
    <cellStyle name="表体文字 2 53 2" xfId="23927"/>
    <cellStyle name="表体文字 2 53 2 2" xfId="26439"/>
    <cellStyle name="表体文字 2 53 2 3" xfId="26441"/>
    <cellStyle name="表体文字 2 53 2 4" xfId="26443"/>
    <cellStyle name="表体文字 2 53 2 5" xfId="26445"/>
    <cellStyle name="表体文字 2 53 2 6" xfId="26447"/>
    <cellStyle name="表体文字 2 53 2 7" xfId="26449"/>
    <cellStyle name="表体文字 2 53 2 8" xfId="26451"/>
    <cellStyle name="表体文字 2 53 3" xfId="23931"/>
    <cellStyle name="表体文字 2 53 3 2" xfId="26453"/>
    <cellStyle name="表体文字 2 53 3 3" xfId="26458"/>
    <cellStyle name="表体文字 2 53 3 4" xfId="26462"/>
    <cellStyle name="表体文字 2 53 3 5" xfId="26466"/>
    <cellStyle name="表体文字 2 53 3 6" xfId="26470"/>
    <cellStyle name="表体文字 2 53 3 7" xfId="26474"/>
    <cellStyle name="表体文字 2 53 3 8" xfId="26478"/>
    <cellStyle name="表体文字 2 53 4" xfId="23935"/>
    <cellStyle name="表体文字 2 53 5" xfId="26482"/>
    <cellStyle name="表体文字 2 53 6" xfId="26484"/>
    <cellStyle name="表体文字 2 53 7" xfId="26486"/>
    <cellStyle name="表体文字 2 53 8" xfId="26488"/>
    <cellStyle name="表体文字 2 53 9" xfId="26492"/>
    <cellStyle name="表体文字 2 54" xfId="26496"/>
    <cellStyle name="表体文字 2 54 10" xfId="26501"/>
    <cellStyle name="表体文字 2 54 2" xfId="23986"/>
    <cellStyle name="表体文字 2 54 2 2" xfId="25787"/>
    <cellStyle name="表体文字 2 54 2 3" xfId="4809"/>
    <cellStyle name="表体文字 2 54 2 4" xfId="3789"/>
    <cellStyle name="表体文字 2 54 2 5" xfId="3798"/>
    <cellStyle name="表体文字 2 54 2 6" xfId="7145"/>
    <cellStyle name="表体文字 2 54 2 7" xfId="7151"/>
    <cellStyle name="表体文字 2 54 2 8" xfId="7159"/>
    <cellStyle name="表体文字 2 54 3" xfId="23991"/>
    <cellStyle name="表体文字 2 54 3 2" xfId="25864"/>
    <cellStyle name="表体文字 2 54 3 3" xfId="4828"/>
    <cellStyle name="表体文字 2 54 3 4" xfId="3809"/>
    <cellStyle name="表体文字 2 54 3 5" xfId="3815"/>
    <cellStyle name="表体文字 2 54 3 6" xfId="7177"/>
    <cellStyle name="表体文字 2 54 3 7" xfId="7181"/>
    <cellStyle name="表体文字 2 54 3 8" xfId="7187"/>
    <cellStyle name="表体文字 2 54 4" xfId="23996"/>
    <cellStyle name="表体文字 2 54 5" xfId="26504"/>
    <cellStyle name="表体文字 2 54 6" xfId="26506"/>
    <cellStyle name="表体文字 2 54 7" xfId="26508"/>
    <cellStyle name="表体文字 2 54 8" xfId="26510"/>
    <cellStyle name="表体文字 2 54 9" xfId="26514"/>
    <cellStyle name="表体文字 2 55" xfId="26560"/>
    <cellStyle name="表体文字 2 55 10" xfId="26564"/>
    <cellStyle name="表体文字 2 55 2" xfId="24057"/>
    <cellStyle name="表体文字 2 55 2 2" xfId="26566"/>
    <cellStyle name="表体文字 2 55 2 3" xfId="7351"/>
    <cellStyle name="表体文字 2 55 2 4" xfId="3938"/>
    <cellStyle name="表体文字 2 55 2 5" xfId="3946"/>
    <cellStyle name="表体文字 2 55 2 6" xfId="5096"/>
    <cellStyle name="表体文字 2 55 2 7" xfId="5102"/>
    <cellStyle name="表体文字 2 55 2 8" xfId="5108"/>
    <cellStyle name="表体文字 2 55 3" xfId="24061"/>
    <cellStyle name="表体文字 2 55 3 2" xfId="26569"/>
    <cellStyle name="表体文字 2 55 3 3" xfId="7355"/>
    <cellStyle name="表体文字 2 55 3 4" xfId="3960"/>
    <cellStyle name="表体文字 2 55 3 5" xfId="3966"/>
    <cellStyle name="表体文字 2 55 3 6" xfId="5130"/>
    <cellStyle name="表体文字 2 55 3 7" xfId="5136"/>
    <cellStyle name="表体文字 2 55 3 8" xfId="5142"/>
    <cellStyle name="表体文字 2 55 4" xfId="24065"/>
    <cellStyle name="表体文字 2 55 5" xfId="24232"/>
    <cellStyle name="表体文字 2 55 6" xfId="26574"/>
    <cellStyle name="表体文字 2 55 7" xfId="26576"/>
    <cellStyle name="表体文字 2 55 8" xfId="26578"/>
    <cellStyle name="表体文字 2 55 9" xfId="21954"/>
    <cellStyle name="表体文字 2 56" xfId="26582"/>
    <cellStyle name="表体文字 2 56 10" xfId="26586"/>
    <cellStyle name="表体文字 2 56 2" xfId="24101"/>
    <cellStyle name="表体文字 2 56 2 2" xfId="26588"/>
    <cellStyle name="表体文字 2 56 2 3" xfId="7363"/>
    <cellStyle name="表体文字 2 56 2 4" xfId="7366"/>
    <cellStyle name="表体文字 2 56 2 5" xfId="6330"/>
    <cellStyle name="表体文字 2 56 2 6" xfId="6335"/>
    <cellStyle name="表体文字 2 56 2 7" xfId="6546"/>
    <cellStyle name="表体文字 2 56 2 8" xfId="6551"/>
    <cellStyle name="表体文字 2 56 3" xfId="24105"/>
    <cellStyle name="表体文字 2 56 3 2" xfId="26590"/>
    <cellStyle name="表体文字 2 56 3 3" xfId="7370"/>
    <cellStyle name="表体文字 2 56 3 4" xfId="7373"/>
    <cellStyle name="表体文字 2 56 3 5" xfId="7376"/>
    <cellStyle name="表体文字 2 56 3 6" xfId="7379"/>
    <cellStyle name="表体文字 2 56 3 7" xfId="6606"/>
    <cellStyle name="表体文字 2 56 3 8" xfId="6611"/>
    <cellStyle name="表体文字 2 56 4" xfId="24109"/>
    <cellStyle name="表体文字 2 56 5" xfId="26594"/>
    <cellStyle name="表体文字 2 56 6" xfId="24008"/>
    <cellStyle name="表体文字 2 56 7" xfId="24012"/>
    <cellStyle name="表体文字 2 56 8" xfId="3867"/>
    <cellStyle name="表体文字 2 56 9" xfId="3882"/>
    <cellStyle name="表体文字 2 57" xfId="26596"/>
    <cellStyle name="表体文字 2 57 10" xfId="26600"/>
    <cellStyle name="表体文字 2 57 2" xfId="24131"/>
    <cellStyle name="表体文字 2 57 2 2" xfId="26602"/>
    <cellStyle name="表体文字 2 57 2 3" xfId="1970"/>
    <cellStyle name="表体文字 2 57 2 4" xfId="1975"/>
    <cellStyle name="表体文字 2 57 2 5" xfId="1863"/>
    <cellStyle name="表体文字 2 57 2 6" xfId="2003"/>
    <cellStyle name="表体文字 2 57 2 7" xfId="2008"/>
    <cellStyle name="表体文字 2 57 2 8" xfId="2013"/>
    <cellStyle name="表体文字 2 57 3" xfId="24137"/>
    <cellStyle name="表体文字 2 57 3 2" xfId="26604"/>
    <cellStyle name="表体文字 2 57 3 3" xfId="7393"/>
    <cellStyle name="表体文字 2 57 3 4" xfId="7396"/>
    <cellStyle name="表体文字 2 57 3 5" xfId="7399"/>
    <cellStyle name="表体文字 2 57 3 6" xfId="7402"/>
    <cellStyle name="表体文字 2 57 3 7" xfId="7405"/>
    <cellStyle name="表体文字 2 57 3 8" xfId="7408"/>
    <cellStyle name="表体文字 2 57 4" xfId="24141"/>
    <cellStyle name="表体文字 2 57 5" xfId="26608"/>
    <cellStyle name="表体文字 2 57 6" xfId="24018"/>
    <cellStyle name="表体文字 2 57 7" xfId="24022"/>
    <cellStyle name="表体文字 2 57 8" xfId="24026"/>
    <cellStyle name="表体文字 2 57 9" xfId="24032"/>
    <cellStyle name="表体文字 2 58" xfId="26610"/>
    <cellStyle name="表体文字 2 58 10" xfId="5557"/>
    <cellStyle name="表体文字 2 58 2" xfId="17555"/>
    <cellStyle name="表体文字 2 58 2 2" xfId="26614"/>
    <cellStyle name="表体文字 2 58 2 3" xfId="7421"/>
    <cellStyle name="表体文字 2 58 2 4" xfId="4746"/>
    <cellStyle name="表体文字 2 58 2 5" xfId="7424"/>
    <cellStyle name="表体文字 2 58 2 6" xfId="7427"/>
    <cellStyle name="表体文字 2 58 2 7" xfId="7430"/>
    <cellStyle name="表体文字 2 58 2 8" xfId="7433"/>
    <cellStyle name="表体文字 2 58 3" xfId="17560"/>
    <cellStyle name="表体文字 2 58 3 2" xfId="26616"/>
    <cellStyle name="表体文字 2 58 3 3" xfId="6418"/>
    <cellStyle name="表体文字 2 58 3 4" xfId="3030"/>
    <cellStyle name="表体文字 2 58 3 5" xfId="3045"/>
    <cellStyle name="表体文字 2 58 3 6" xfId="3052"/>
    <cellStyle name="表体文字 2 58 3 7" xfId="3057"/>
    <cellStyle name="表体文字 2 58 3 8" xfId="3061"/>
    <cellStyle name="表体文字 2 58 4" xfId="24181"/>
    <cellStyle name="表体文字 2 58 5" xfId="26620"/>
    <cellStyle name="表体文字 2 58 6" xfId="26622"/>
    <cellStyle name="表体文字 2 58 7" xfId="26624"/>
    <cellStyle name="表体文字 2 58 8" xfId="26626"/>
    <cellStyle name="表体文字 2 58 9" xfId="26630"/>
    <cellStyle name="表体文字 2 59" xfId="26634"/>
    <cellStyle name="表体文字 2 59 10" xfId="5518"/>
    <cellStyle name="表体文字 2 59 2" xfId="9270"/>
    <cellStyle name="表体文字 2 59 2 2" xfId="9296"/>
    <cellStyle name="表体文字 2 59 2 3" xfId="7441"/>
    <cellStyle name="表体文字 2 59 2 4" xfId="7445"/>
    <cellStyle name="表体文字 2 59 2 5" xfId="7449"/>
    <cellStyle name="表体文字 2 59 2 6" xfId="6046"/>
    <cellStyle name="表体文字 2 59 2 7" xfId="6053"/>
    <cellStyle name="表体文字 2 59 2 8" xfId="7453"/>
    <cellStyle name="表体文字 2 59 3" xfId="17584"/>
    <cellStyle name="表体文字 2 59 3 2" xfId="26636"/>
    <cellStyle name="表体文字 2 59 3 3" xfId="6472"/>
    <cellStyle name="表体文字 2 59 3 4" xfId="6478"/>
    <cellStyle name="表体文字 2 59 3 5" xfId="4085"/>
    <cellStyle name="表体文字 2 59 3 6" xfId="4138"/>
    <cellStyle name="表体文字 2 59 3 7" xfId="4178"/>
    <cellStyle name="表体文字 2 59 3 8" xfId="4183"/>
    <cellStyle name="表体文字 2 59 4" xfId="26640"/>
    <cellStyle name="表体文字 2 59 5" xfId="26642"/>
    <cellStyle name="表体文字 2 59 6" xfId="26644"/>
    <cellStyle name="表体文字 2 59 7" xfId="26646"/>
    <cellStyle name="表体文字 2 59 8" xfId="26648"/>
    <cellStyle name="表体文字 2 59 9" xfId="12999"/>
    <cellStyle name="表体文字 2 6" xfId="19402"/>
    <cellStyle name="表体文字 2 6 10" xfId="7339"/>
    <cellStyle name="表体文字 2 6 2" xfId="8162"/>
    <cellStyle name="表体文字 2 6 2 2" xfId="26652"/>
    <cellStyle name="表体文字 2 6 2 3" xfId="11521"/>
    <cellStyle name="表体文字 2 6 2 4" xfId="11523"/>
    <cellStyle name="表体文字 2 6 2 5" xfId="26653"/>
    <cellStyle name="表体文字 2 6 2 6" xfId="26654"/>
    <cellStyle name="表体文字 2 6 2 7" xfId="26655"/>
    <cellStyle name="表体文字 2 6 2 8" xfId="26656"/>
    <cellStyle name="表体文字 2 6 3" xfId="26657"/>
    <cellStyle name="表体文字 2 6 3 2" xfId="26658"/>
    <cellStyle name="表体文字 2 6 3 3" xfId="26659"/>
    <cellStyle name="表体文字 2 6 3 4" xfId="26660"/>
    <cellStyle name="表体文字 2 6 3 5" xfId="26661"/>
    <cellStyle name="表体文字 2 6 3 6" xfId="26662"/>
    <cellStyle name="表体文字 2 6 3 7" xfId="26663"/>
    <cellStyle name="表体文字 2 6 3 8" xfId="26664"/>
    <cellStyle name="表体文字 2 6 4" xfId="26665"/>
    <cellStyle name="表体文字 2 6 5" xfId="26666"/>
    <cellStyle name="表体文字 2 6 6" xfId="26667"/>
    <cellStyle name="表体文字 2 6 7" xfId="26668"/>
    <cellStyle name="表体文字 2 6 8" xfId="26669"/>
    <cellStyle name="表体文字 2 6 9" xfId="26670"/>
    <cellStyle name="表体文字 2 60" xfId="26561"/>
    <cellStyle name="表体文字 2 60 10" xfId="26565"/>
    <cellStyle name="表体文字 2 60 2" xfId="24058"/>
    <cellStyle name="表体文字 2 60 2 2" xfId="26567"/>
    <cellStyle name="表体文字 2 60 2 3" xfId="7352"/>
    <cellStyle name="表体文字 2 60 2 4" xfId="3937"/>
    <cellStyle name="表体文字 2 60 2 5" xfId="3945"/>
    <cellStyle name="表体文字 2 60 2 6" xfId="5097"/>
    <cellStyle name="表体文字 2 60 2 7" xfId="5103"/>
    <cellStyle name="表体文字 2 60 2 8" xfId="5109"/>
    <cellStyle name="表体文字 2 60 3" xfId="24062"/>
    <cellStyle name="表体文字 2 60 3 2" xfId="26570"/>
    <cellStyle name="表体文字 2 60 3 3" xfId="7356"/>
    <cellStyle name="表体文字 2 60 3 4" xfId="3959"/>
    <cellStyle name="表体文字 2 60 3 5" xfId="3965"/>
    <cellStyle name="表体文字 2 60 3 6" xfId="5131"/>
    <cellStyle name="表体文字 2 60 3 7" xfId="5137"/>
    <cellStyle name="表体文字 2 60 3 8" xfId="5143"/>
    <cellStyle name="表体文字 2 60 4" xfId="24066"/>
    <cellStyle name="表体文字 2 60 5" xfId="24233"/>
    <cellStyle name="表体文字 2 60 6" xfId="26575"/>
    <cellStyle name="表体文字 2 60 7" xfId="26577"/>
    <cellStyle name="表体文字 2 60 8" xfId="26579"/>
    <cellStyle name="表体文字 2 60 9" xfId="21955"/>
    <cellStyle name="表体文字 2 61" xfId="26583"/>
    <cellStyle name="表体文字 2 61 10" xfId="26587"/>
    <cellStyle name="表体文字 2 61 2" xfId="24102"/>
    <cellStyle name="表体文字 2 61 2 2" xfId="26589"/>
    <cellStyle name="表体文字 2 61 2 3" xfId="7364"/>
    <cellStyle name="表体文字 2 61 2 4" xfId="7367"/>
    <cellStyle name="表体文字 2 61 2 5" xfId="6331"/>
    <cellStyle name="表体文字 2 61 2 6" xfId="6336"/>
    <cellStyle name="表体文字 2 61 2 7" xfId="6547"/>
    <cellStyle name="表体文字 2 61 2 8" xfId="6552"/>
    <cellStyle name="表体文字 2 61 3" xfId="24106"/>
    <cellStyle name="表体文字 2 61 3 2" xfId="26591"/>
    <cellStyle name="表体文字 2 61 3 3" xfId="7371"/>
    <cellStyle name="表体文字 2 61 3 4" xfId="7374"/>
    <cellStyle name="表体文字 2 61 3 5" xfId="7377"/>
    <cellStyle name="表体文字 2 61 3 6" xfId="7380"/>
    <cellStyle name="表体文字 2 61 3 7" xfId="6607"/>
    <cellStyle name="表体文字 2 61 3 8" xfId="6612"/>
    <cellStyle name="表体文字 2 61 4" xfId="24110"/>
    <cellStyle name="表体文字 2 61 5" xfId="26595"/>
    <cellStyle name="表体文字 2 61 6" xfId="24009"/>
    <cellStyle name="表体文字 2 61 7" xfId="24013"/>
    <cellStyle name="表体文字 2 61 8" xfId="3866"/>
    <cellStyle name="表体文字 2 61 9" xfId="3881"/>
    <cellStyle name="表体文字 2 62" xfId="26597"/>
    <cellStyle name="表体文字 2 62 10" xfId="26601"/>
    <cellStyle name="表体文字 2 62 2" xfId="24132"/>
    <cellStyle name="表体文字 2 62 2 2" xfId="26603"/>
    <cellStyle name="表体文字 2 62 2 3" xfId="1969"/>
    <cellStyle name="表体文字 2 62 2 4" xfId="1974"/>
    <cellStyle name="表体文字 2 62 2 5" xfId="1862"/>
    <cellStyle name="表体文字 2 62 2 6" xfId="2002"/>
    <cellStyle name="表体文字 2 62 2 7" xfId="2007"/>
    <cellStyle name="表体文字 2 62 2 8" xfId="2012"/>
    <cellStyle name="表体文字 2 62 3" xfId="24138"/>
    <cellStyle name="表体文字 2 62 3 2" xfId="26605"/>
    <cellStyle name="表体文字 2 62 3 3" xfId="7394"/>
    <cellStyle name="表体文字 2 62 3 4" xfId="7397"/>
    <cellStyle name="表体文字 2 62 3 5" xfId="7400"/>
    <cellStyle name="表体文字 2 62 3 6" xfId="7403"/>
    <cellStyle name="表体文字 2 62 3 7" xfId="7406"/>
    <cellStyle name="表体文字 2 62 3 8" xfId="7409"/>
    <cellStyle name="表体文字 2 62 4" xfId="24142"/>
    <cellStyle name="表体文字 2 62 5" xfId="26609"/>
    <cellStyle name="表体文字 2 62 6" xfId="24019"/>
    <cellStyle name="表体文字 2 62 7" xfId="24023"/>
    <cellStyle name="表体文字 2 62 8" xfId="24027"/>
    <cellStyle name="表体文字 2 62 9" xfId="24033"/>
    <cellStyle name="表体文字 2 63" xfId="26611"/>
    <cellStyle name="表体文字 2 63 10" xfId="5558"/>
    <cellStyle name="表体文字 2 63 2" xfId="17556"/>
    <cellStyle name="表体文字 2 63 2 2" xfId="26615"/>
    <cellStyle name="表体文字 2 63 2 3" xfId="7422"/>
    <cellStyle name="表体文字 2 63 2 4" xfId="4747"/>
    <cellStyle name="表体文字 2 63 2 5" xfId="7425"/>
    <cellStyle name="表体文字 2 63 2 6" xfId="7428"/>
    <cellStyle name="表体文字 2 63 2 7" xfId="7431"/>
    <cellStyle name="表体文字 2 63 2 8" xfId="7434"/>
    <cellStyle name="表体文字 2 63 3" xfId="17561"/>
    <cellStyle name="表体文字 2 63 3 2" xfId="26617"/>
    <cellStyle name="表体文字 2 63 3 3" xfId="6419"/>
    <cellStyle name="表体文字 2 63 3 4" xfId="3029"/>
    <cellStyle name="表体文字 2 63 3 5" xfId="3044"/>
    <cellStyle name="表体文字 2 63 3 6" xfId="3051"/>
    <cellStyle name="表体文字 2 63 3 7" xfId="3056"/>
    <cellStyle name="表体文字 2 63 3 8" xfId="3060"/>
    <cellStyle name="表体文字 2 63 4" xfId="24182"/>
    <cellStyle name="表体文字 2 63 5" xfId="26621"/>
    <cellStyle name="表体文字 2 63 6" xfId="26623"/>
    <cellStyle name="表体文字 2 63 7" xfId="26625"/>
    <cellStyle name="表体文字 2 63 8" xfId="26627"/>
    <cellStyle name="表体文字 2 63 9" xfId="26631"/>
    <cellStyle name="表体文字 2 64" xfId="26635"/>
    <cellStyle name="表体文字 2 64 10" xfId="5519"/>
    <cellStyle name="表体文字 2 64 2" xfId="9271"/>
    <cellStyle name="表体文字 2 64 2 2" xfId="9297"/>
    <cellStyle name="表体文字 2 64 2 3" xfId="7442"/>
    <cellStyle name="表体文字 2 64 2 4" xfId="7446"/>
    <cellStyle name="表体文字 2 64 2 5" xfId="7450"/>
    <cellStyle name="表体文字 2 64 2 6" xfId="6047"/>
    <cellStyle name="表体文字 2 64 2 7" xfId="6054"/>
    <cellStyle name="表体文字 2 64 2 8" xfId="7454"/>
    <cellStyle name="表体文字 2 64 3" xfId="17585"/>
    <cellStyle name="表体文字 2 64 3 2" xfId="26637"/>
    <cellStyle name="表体文字 2 64 3 3" xfId="6473"/>
    <cellStyle name="表体文字 2 64 3 4" xfId="6479"/>
    <cellStyle name="表体文字 2 64 3 5" xfId="4086"/>
    <cellStyle name="表体文字 2 64 3 6" xfId="4139"/>
    <cellStyle name="表体文字 2 64 3 7" xfId="4179"/>
    <cellStyle name="表体文字 2 64 3 8" xfId="4184"/>
    <cellStyle name="表体文字 2 64 4" xfId="26641"/>
    <cellStyle name="表体文字 2 64 5" xfId="26643"/>
    <cellStyle name="表体文字 2 64 6" xfId="26645"/>
    <cellStyle name="表体文字 2 64 7" xfId="26647"/>
    <cellStyle name="表体文字 2 64 8" xfId="26649"/>
    <cellStyle name="表体文字 2 64 9" xfId="13000"/>
    <cellStyle name="表体文字 2 65" xfId="26671"/>
    <cellStyle name="表体文字 2 65 10" xfId="5634"/>
    <cellStyle name="表体文字 2 65 2" xfId="24189"/>
    <cellStyle name="表体文字 2 65 2 2" xfId="26673"/>
    <cellStyle name="表体文字 2 65 2 3" xfId="7457"/>
    <cellStyle name="表体文字 2 65 2 4" xfId="7459"/>
    <cellStyle name="表体文字 2 65 2 5" xfId="7461"/>
    <cellStyle name="表体文字 2 65 2 6" xfId="7463"/>
    <cellStyle name="表体文字 2 65 2 7" xfId="982"/>
    <cellStyle name="表体文字 2 65 2 8" xfId="4995"/>
    <cellStyle name="表体文字 2 65 3" xfId="24191"/>
    <cellStyle name="表体文字 2 65 3 2" xfId="5858"/>
    <cellStyle name="表体文字 2 65 3 3" xfId="5864"/>
    <cellStyle name="表体文字 2 65 3 4" xfId="5867"/>
    <cellStyle name="表体文字 2 65 3 5" xfId="5870"/>
    <cellStyle name="表体文字 2 65 3 6" xfId="5873"/>
    <cellStyle name="表体文字 2 65 3 7" xfId="5001"/>
    <cellStyle name="表体文字 2 65 3 8" xfId="5004"/>
    <cellStyle name="表体文字 2 65 4" xfId="26674"/>
    <cellStyle name="表体文字 2 65 5" xfId="26675"/>
    <cellStyle name="表体文字 2 65 6" xfId="26676"/>
    <cellStyle name="表体文字 2 65 7" xfId="26677"/>
    <cellStyle name="表体文字 2 65 8" xfId="26678"/>
    <cellStyle name="表体文字 2 65 9" xfId="13020"/>
    <cellStyle name="表体文字 2 66" xfId="26681"/>
    <cellStyle name="表体文字 2 66 2" xfId="26683"/>
    <cellStyle name="表体文字 2 66 3" xfId="26684"/>
    <cellStyle name="表体文字 2 66 4" xfId="26685"/>
    <cellStyle name="表体文字 2 66 5" xfId="26686"/>
    <cellStyle name="表体文字 2 66 6" xfId="26568"/>
    <cellStyle name="表体文字 2 66 7" xfId="7353"/>
    <cellStyle name="表体文字 2 66 8" xfId="3936"/>
    <cellStyle name="表体文字 2 67" xfId="26687"/>
    <cellStyle name="表体文字 2 67 2" xfId="26689"/>
    <cellStyle name="表体文字 2 67 3" xfId="26694"/>
    <cellStyle name="表体文字 2 67 4" xfId="26697"/>
    <cellStyle name="表体文字 2 67 5" xfId="26700"/>
    <cellStyle name="表体文字 2 67 6" xfId="26571"/>
    <cellStyle name="表体文字 2 67 7" xfId="7357"/>
    <cellStyle name="表体文字 2 67 8" xfId="3958"/>
    <cellStyle name="表体文字 2 68" xfId="26703"/>
    <cellStyle name="表体文字 2 69" xfId="26705"/>
    <cellStyle name="表体文字 2 7" xfId="19404"/>
    <cellStyle name="表体文字 2 7 10" xfId="26707"/>
    <cellStyle name="表体文字 2 7 2" xfId="8165"/>
    <cellStyle name="表体文字 2 7 2 2" xfId="1268"/>
    <cellStyle name="表体文字 2 7 2 3" xfId="2757"/>
    <cellStyle name="表体文字 2 7 2 4" xfId="2802"/>
    <cellStyle name="表体文字 2 7 2 5" xfId="26709"/>
    <cellStyle name="表体文字 2 7 2 6" xfId="26710"/>
    <cellStyle name="表体文字 2 7 2 7" xfId="26711"/>
    <cellStyle name="表体文字 2 7 2 8" xfId="26712"/>
    <cellStyle name="表体文字 2 7 3" xfId="26713"/>
    <cellStyle name="表体文字 2 7 3 2" xfId="26714"/>
    <cellStyle name="表体文字 2 7 3 3" xfId="26715"/>
    <cellStyle name="表体文字 2 7 3 4" xfId="26716"/>
    <cellStyle name="表体文字 2 7 3 5" xfId="26717"/>
    <cellStyle name="表体文字 2 7 3 6" xfId="19501"/>
    <cellStyle name="表体文字 2 7 3 7" xfId="19503"/>
    <cellStyle name="表体文字 2 7 3 8" xfId="19505"/>
    <cellStyle name="表体文字 2 7 4" xfId="26718"/>
    <cellStyle name="表体文字 2 7 5" xfId="26719"/>
    <cellStyle name="表体文字 2 7 6" xfId="26720"/>
    <cellStyle name="表体文字 2 7 7" xfId="26721"/>
    <cellStyle name="表体文字 2 7 8" xfId="26722"/>
    <cellStyle name="表体文字 2 7 9" xfId="26725"/>
    <cellStyle name="表体文字 2 70" xfId="26672"/>
    <cellStyle name="表体文字 2 71" xfId="26682"/>
    <cellStyle name="表体文字 2 72" xfId="26688"/>
    <cellStyle name="表体文字 2 73" xfId="26704"/>
    <cellStyle name="表体文字 2 74" xfId="26706"/>
    <cellStyle name="表体文字 2 8" xfId="19406"/>
    <cellStyle name="表体文字 2 8 10" xfId="26726"/>
    <cellStyle name="表体文字 2 8 2" xfId="8169"/>
    <cellStyle name="表体文字 2 8 2 2" xfId="26729"/>
    <cellStyle name="表体文字 2 8 2 3" xfId="26730"/>
    <cellStyle name="表体文字 2 8 2 4" xfId="26731"/>
    <cellStyle name="表体文字 2 8 2 5" xfId="26732"/>
    <cellStyle name="表体文字 2 8 2 6" xfId="26733"/>
    <cellStyle name="表体文字 2 8 2 7" xfId="26734"/>
    <cellStyle name="表体文字 2 8 2 8" xfId="26735"/>
    <cellStyle name="表体文字 2 8 3" xfId="26736"/>
    <cellStyle name="表体文字 2 8 3 2" xfId="26737"/>
    <cellStyle name="表体文字 2 8 3 3" xfId="26738"/>
    <cellStyle name="表体文字 2 8 3 4" xfId="26739"/>
    <cellStyle name="表体文字 2 8 3 5" xfId="26740"/>
    <cellStyle name="表体文字 2 8 3 6" xfId="19540"/>
    <cellStyle name="表体文字 2 8 3 7" xfId="19542"/>
    <cellStyle name="表体文字 2 8 3 8" xfId="19544"/>
    <cellStyle name="表体文字 2 8 4" xfId="26741"/>
    <cellStyle name="表体文字 2 8 5" xfId="26742"/>
    <cellStyle name="表体文字 2 8 6" xfId="26743"/>
    <cellStyle name="表体文字 2 8 7" xfId="26744"/>
    <cellStyle name="表体文字 2 8 8" xfId="26745"/>
    <cellStyle name="表体文字 2 8 9" xfId="26746"/>
    <cellStyle name="表体文字 2 9" xfId="1073"/>
    <cellStyle name="表体文字 2 9 10" xfId="24038"/>
    <cellStyle name="表体文字 2 9 2" xfId="8174"/>
    <cellStyle name="表体文字 2 9 2 2" xfId="26747"/>
    <cellStyle name="表体文字 2 9 2 3" xfId="26748"/>
    <cellStyle name="表体文字 2 9 2 4" xfId="26749"/>
    <cellStyle name="表体文字 2 9 2 5" xfId="26750"/>
    <cellStyle name="表体文字 2 9 2 6" xfId="26751"/>
    <cellStyle name="表体文字 2 9 2 7" xfId="26752"/>
    <cellStyle name="表体文字 2 9 2 8" xfId="26753"/>
    <cellStyle name="表体文字 2 9 3" xfId="26754"/>
    <cellStyle name="表体文字 2 9 3 2" xfId="26755"/>
    <cellStyle name="表体文字 2 9 3 3" xfId="26756"/>
    <cellStyle name="表体文字 2 9 3 4" xfId="2533"/>
    <cellStyle name="表体文字 2 9 3 5" xfId="2582"/>
    <cellStyle name="表体文字 2 9 3 6" xfId="4097"/>
    <cellStyle name="表体文字 2 9 3 7" xfId="4100"/>
    <cellStyle name="表体文字 2 9 3 8" xfId="4108"/>
    <cellStyle name="表体文字 2 9 4" xfId="26757"/>
    <cellStyle name="表体文字 2 9 5" xfId="26758"/>
    <cellStyle name="表体文字 2 9 6" xfId="26759"/>
    <cellStyle name="表体文字 2 9 7" xfId="5282"/>
    <cellStyle name="表体文字 2 9 8" xfId="5286"/>
    <cellStyle name="表体文字 2 9 9" xfId="26760"/>
    <cellStyle name="表体文字 20" xfId="25456"/>
    <cellStyle name="表体文字 20 10" xfId="25458"/>
    <cellStyle name="表体文字 20 2" xfId="1940"/>
    <cellStyle name="表体文字 20 2 2" xfId="13914"/>
    <cellStyle name="表体文字 20 2 3" xfId="25462"/>
    <cellStyle name="表体文字 20 2 4" xfId="25464"/>
    <cellStyle name="表体文字 20 2 5" xfId="25466"/>
    <cellStyle name="表体文字 20 2 6" xfId="25468"/>
    <cellStyle name="表体文字 20 2 7" xfId="25470"/>
    <cellStyle name="表体文字 20 2 8" xfId="4978"/>
    <cellStyle name="表体文字 20 3" xfId="1944"/>
    <cellStyle name="表体文字 20 3 2" xfId="13940"/>
    <cellStyle name="表体文字 20 3 3" xfId="25472"/>
    <cellStyle name="表体文字 20 3 4" xfId="25474"/>
    <cellStyle name="表体文字 20 3 5" xfId="25476"/>
    <cellStyle name="表体文字 20 3 6" xfId="9536"/>
    <cellStyle name="表体文字 20 3 7" xfId="9559"/>
    <cellStyle name="表体文字 20 3 8" xfId="9577"/>
    <cellStyle name="表体文字 20 4" xfId="1948"/>
    <cellStyle name="表体文字 20 5" xfId="1951"/>
    <cellStyle name="表体文字 20 6" xfId="1956"/>
    <cellStyle name="表体文字 20 7" xfId="25478"/>
    <cellStyle name="表体文字 20 8" xfId="25480"/>
    <cellStyle name="表体文字 20 9" xfId="25482"/>
    <cellStyle name="表体文字 21" xfId="25484"/>
    <cellStyle name="表体文字 21 10" xfId="25486"/>
    <cellStyle name="表体文字 21 2" xfId="1982"/>
    <cellStyle name="表体文字 21 2 2" xfId="13978"/>
    <cellStyle name="表体文字 21 2 3" xfId="25488"/>
    <cellStyle name="表体文字 21 2 4" xfId="25490"/>
    <cellStyle name="表体文字 21 2 5" xfId="25492"/>
    <cellStyle name="表体文字 21 2 6" xfId="25494"/>
    <cellStyle name="表体文字 21 2 7" xfId="25496"/>
    <cellStyle name="表体文字 21 2 8" xfId="25498"/>
    <cellStyle name="表体文字 21 3" xfId="1986"/>
    <cellStyle name="表体文字 21 3 2" xfId="14002"/>
    <cellStyle name="表体文字 21 3 3" xfId="25501"/>
    <cellStyle name="表体文字 21 3 4" xfId="25504"/>
    <cellStyle name="表体文字 21 3 5" xfId="25507"/>
    <cellStyle name="表体文字 21 3 6" xfId="25510"/>
    <cellStyle name="表体文字 21 3 7" xfId="25513"/>
    <cellStyle name="表体文字 21 3 8" xfId="25515"/>
    <cellStyle name="表体文字 21 4" xfId="1990"/>
    <cellStyle name="表体文字 21 5" xfId="1993"/>
    <cellStyle name="表体文字 21 6" xfId="1996"/>
    <cellStyle name="表体文字 21 7" xfId="25517"/>
    <cellStyle name="表体文字 21 8" xfId="25519"/>
    <cellStyle name="表体文字 21 9" xfId="25521"/>
    <cellStyle name="表体文字 22" xfId="25523"/>
    <cellStyle name="表体文字 22 10" xfId="25525"/>
    <cellStyle name="表体文字 22 2" xfId="2024"/>
    <cellStyle name="表体文字 22 2 2" xfId="14045"/>
    <cellStyle name="表体文字 22 2 3" xfId="25529"/>
    <cellStyle name="表体文字 22 2 4" xfId="25531"/>
    <cellStyle name="表体文字 22 2 5" xfId="25533"/>
    <cellStyle name="表体文字 22 2 6" xfId="25535"/>
    <cellStyle name="表体文字 22 2 7" xfId="25537"/>
    <cellStyle name="表体文字 22 2 8" xfId="25539"/>
    <cellStyle name="表体文字 22 3" xfId="2027"/>
    <cellStyle name="表体文字 22 3 2" xfId="14077"/>
    <cellStyle name="表体文字 22 3 3" xfId="25541"/>
    <cellStyle name="表体文字 22 3 4" xfId="25543"/>
    <cellStyle name="表体文字 22 3 5" xfId="25545"/>
    <cellStyle name="表体文字 22 3 6" xfId="25547"/>
    <cellStyle name="表体文字 22 3 7" xfId="25549"/>
    <cellStyle name="表体文字 22 3 8" xfId="2602"/>
    <cellStyle name="表体文字 22 4" xfId="2030"/>
    <cellStyle name="表体文字 22 5" xfId="2034"/>
    <cellStyle name="表体文字 22 6" xfId="2037"/>
    <cellStyle name="表体文字 22 7" xfId="25551"/>
    <cellStyle name="表体文字 22 8" xfId="25553"/>
    <cellStyle name="表体文字 22 9" xfId="25555"/>
    <cellStyle name="表体文字 23" xfId="19139"/>
    <cellStyle name="表体文字 23 10" xfId="25557"/>
    <cellStyle name="表体文字 23 2" xfId="2092"/>
    <cellStyle name="表体文字 23 2 2" xfId="14174"/>
    <cellStyle name="表体文字 23 2 3" xfId="25559"/>
    <cellStyle name="表体文字 23 2 4" xfId="25561"/>
    <cellStyle name="表体文字 23 2 5" xfId="25563"/>
    <cellStyle name="表体文字 23 2 6" xfId="25565"/>
    <cellStyle name="表体文字 23 2 7" xfId="25567"/>
    <cellStyle name="表体文字 23 2 8" xfId="25569"/>
    <cellStyle name="表体文字 23 3" xfId="2097"/>
    <cellStyle name="表体文字 23 3 2" xfId="14210"/>
    <cellStyle name="表体文字 23 3 3" xfId="25571"/>
    <cellStyle name="表体文字 23 3 4" xfId="25573"/>
    <cellStyle name="表体文字 23 3 5" xfId="25575"/>
    <cellStyle name="表体文字 23 3 6" xfId="25577"/>
    <cellStyle name="表体文字 23 3 7" xfId="25579"/>
    <cellStyle name="表体文字 23 3 8" xfId="25581"/>
    <cellStyle name="表体文字 23 4" xfId="2102"/>
    <cellStyle name="表体文字 23 5" xfId="2107"/>
    <cellStyle name="表体文字 23 6" xfId="2112"/>
    <cellStyle name="表体文字 23 7" xfId="19143"/>
    <cellStyle name="表体文字 23 8" xfId="19147"/>
    <cellStyle name="表体文字 23 9" xfId="25583"/>
    <cellStyle name="表体文字 24" xfId="19151"/>
    <cellStyle name="表体文字 24 10" xfId="25585"/>
    <cellStyle name="表体文字 24 2" xfId="2126"/>
    <cellStyle name="表体文字 24 2 2" xfId="14258"/>
    <cellStyle name="表体文字 24 2 3" xfId="1428"/>
    <cellStyle name="表体文字 24 2 4" xfId="1432"/>
    <cellStyle name="表体文字 24 2 5" xfId="136"/>
    <cellStyle name="表体文字 24 2 6" xfId="1442"/>
    <cellStyle name="表体文字 24 2 7" xfId="698"/>
    <cellStyle name="表体文字 24 2 8" xfId="394"/>
    <cellStyle name="表体文字 24 3" xfId="2132"/>
    <cellStyle name="表体文字 24 3 2" xfId="14300"/>
    <cellStyle name="表体文字 24 3 3" xfId="1470"/>
    <cellStyle name="表体文字 24 3 4" xfId="1486"/>
    <cellStyle name="表体文字 24 3 5" xfId="1505"/>
    <cellStyle name="表体文字 24 3 6" xfId="1525"/>
    <cellStyle name="表体文字 24 3 7" xfId="1537"/>
    <cellStyle name="表体文字 24 3 8" xfId="428"/>
    <cellStyle name="表体文字 24 4" xfId="2138"/>
    <cellStyle name="表体文字 24 5" xfId="2144"/>
    <cellStyle name="表体文字 24 6" xfId="2150"/>
    <cellStyle name="表体文字 24 7" xfId="19156"/>
    <cellStyle name="表体文字 24 8" xfId="19160"/>
    <cellStyle name="表体文字 24 9" xfId="19938"/>
    <cellStyle name="表体文字 25" xfId="19163"/>
    <cellStyle name="表体文字 25 10" xfId="12722"/>
    <cellStyle name="表体文字 25 2" xfId="2168"/>
    <cellStyle name="表体文字 25 2 2" xfId="14335"/>
    <cellStyle name="表体文字 25 2 3" xfId="26761"/>
    <cellStyle name="表体文字 25 2 4" xfId="26763"/>
    <cellStyle name="表体文字 25 2 5" xfId="26765"/>
    <cellStyle name="表体文字 25 2 6" xfId="26767"/>
    <cellStyle name="表体文字 25 2 7" xfId="12783"/>
    <cellStyle name="表体文字 25 2 8" xfId="12789"/>
    <cellStyle name="表体文字 25 3" xfId="2172"/>
    <cellStyle name="表体文字 25 3 2" xfId="14367"/>
    <cellStyle name="表体文字 25 3 3" xfId="25526"/>
    <cellStyle name="表体文字 25 3 4" xfId="26769"/>
    <cellStyle name="表体文字 25 3 5" xfId="26771"/>
    <cellStyle name="表体文字 25 3 6" xfId="26773"/>
    <cellStyle name="表体文字 25 3 7" xfId="12805"/>
    <cellStyle name="表体文字 25 3 8" xfId="26775"/>
    <cellStyle name="表体文字 25 4" xfId="2176"/>
    <cellStyle name="表体文字 25 5" xfId="2180"/>
    <cellStyle name="表体文字 25 6" xfId="2186"/>
    <cellStyle name="表体文字 25 7" xfId="20817"/>
    <cellStyle name="表体文字 25 8" xfId="26777"/>
    <cellStyle name="表体文字 25 9" xfId="26779"/>
    <cellStyle name="表体文字 26" xfId="4509"/>
    <cellStyle name="表体文字 26 10" xfId="26781"/>
    <cellStyle name="表体文字 26 2" xfId="2199"/>
    <cellStyle name="表体文字 26 2 2" xfId="8726"/>
    <cellStyle name="表体文字 26 2 3" xfId="26783"/>
    <cellStyle name="表体文字 26 2 4" xfId="26785"/>
    <cellStyle name="表体文字 26 2 5" xfId="26787"/>
    <cellStyle name="表体文字 26 2 6" xfId="26789"/>
    <cellStyle name="表体文字 26 2 7" xfId="26791"/>
    <cellStyle name="表体文字 26 2 8" xfId="26793"/>
    <cellStyle name="表体文字 26 3" xfId="2203"/>
    <cellStyle name="表体文字 26 3 2" xfId="14431"/>
    <cellStyle name="表体文字 26 3 3" xfId="26795"/>
    <cellStyle name="表体文字 26 3 4" xfId="26799"/>
    <cellStyle name="表体文字 26 3 5" xfId="26801"/>
    <cellStyle name="表体文字 26 3 6" xfId="26803"/>
    <cellStyle name="表体文字 26 3 7" xfId="26805"/>
    <cellStyle name="表体文字 26 3 8" xfId="26807"/>
    <cellStyle name="表体文字 26 4" xfId="2207"/>
    <cellStyle name="表体文字 26 5" xfId="26809"/>
    <cellStyle name="表体文字 26 6" xfId="26811"/>
    <cellStyle name="表体文字 26 7" xfId="26813"/>
    <cellStyle name="表体文字 26 8" xfId="26815"/>
    <cellStyle name="表体文字 26 9" xfId="26817"/>
    <cellStyle name="表体文字 27" xfId="4514"/>
    <cellStyle name="表体文字 27 10" xfId="26796"/>
    <cellStyle name="表体文字 27 2" xfId="4517"/>
    <cellStyle name="表体文字 27 2 2" xfId="14455"/>
    <cellStyle name="表体文字 27 2 3" xfId="26819"/>
    <cellStyle name="表体文字 27 2 4" xfId="26821"/>
    <cellStyle name="表体文字 27 2 5" xfId="26823"/>
    <cellStyle name="表体文字 27 2 6" xfId="26825"/>
    <cellStyle name="表体文字 27 2 7" xfId="26827"/>
    <cellStyle name="表体文字 27 2 8" xfId="26829"/>
    <cellStyle name="表体文字 27 3" xfId="4520"/>
    <cellStyle name="表体文字 27 3 2" xfId="14473"/>
    <cellStyle name="表体文字 27 3 3" xfId="26831"/>
    <cellStyle name="表体文字 27 3 4" xfId="26835"/>
    <cellStyle name="表体文字 27 3 5" xfId="26837"/>
    <cellStyle name="表体文字 27 3 6" xfId="26839"/>
    <cellStyle name="表体文字 27 3 7" xfId="26841"/>
    <cellStyle name="表体文字 27 3 8" xfId="26843"/>
    <cellStyle name="表体文字 27 4" xfId="26845"/>
    <cellStyle name="表体文字 27 5" xfId="26847"/>
    <cellStyle name="表体文字 27 6" xfId="26849"/>
    <cellStyle name="表体文字 27 7" xfId="26851"/>
    <cellStyle name="表体文字 27 8" xfId="26853"/>
    <cellStyle name="表体文字 27 9" xfId="26855"/>
    <cellStyle name="表体文字 28" xfId="4525"/>
    <cellStyle name="表体文字 28 10" xfId="26857"/>
    <cellStyle name="表体文字 28 2" xfId="2828"/>
    <cellStyle name="表体文字 28 2 2" xfId="8575"/>
    <cellStyle name="表体文字 28 2 3" xfId="26859"/>
    <cellStyle name="表体文字 28 2 4" xfId="26861"/>
    <cellStyle name="表体文字 28 2 5" xfId="26863"/>
    <cellStyle name="表体文字 28 2 6" xfId="26865"/>
    <cellStyle name="表体文字 28 2 7" xfId="26867"/>
    <cellStyle name="表体文字 28 2 8" xfId="26869"/>
    <cellStyle name="表体文字 28 3" xfId="2833"/>
    <cellStyle name="表体文字 28 3 2" xfId="14534"/>
    <cellStyle name="表体文字 28 3 3" xfId="26871"/>
    <cellStyle name="表体文字 28 3 4" xfId="26875"/>
    <cellStyle name="表体文字 28 3 5" xfId="26877"/>
    <cellStyle name="表体文字 28 3 6" xfId="26879"/>
    <cellStyle name="表体文字 28 3 7" xfId="26881"/>
    <cellStyle name="表体文字 28 3 8" xfId="26883"/>
    <cellStyle name="表体文字 28 4" xfId="26885"/>
    <cellStyle name="表体文字 28 5" xfId="26887"/>
    <cellStyle name="表体文字 28 6" xfId="26889"/>
    <cellStyle name="表体文字 28 7" xfId="26891"/>
    <cellStyle name="表体文字 28 8" xfId="26893"/>
    <cellStyle name="表体文字 28 9" xfId="26895"/>
    <cellStyle name="表体文字 29" xfId="4530"/>
    <cellStyle name="表体文字 29 10" xfId="26897"/>
    <cellStyle name="表体文字 29 2" xfId="4534"/>
    <cellStyle name="表体文字 29 2 2" xfId="14544"/>
    <cellStyle name="表体文字 29 2 3" xfId="26899"/>
    <cellStyle name="表体文字 29 2 4" xfId="26901"/>
    <cellStyle name="表体文字 29 2 5" xfId="26903"/>
    <cellStyle name="表体文字 29 2 6" xfId="26905"/>
    <cellStyle name="表体文字 29 2 7" xfId="26907"/>
    <cellStyle name="表体文字 29 2 8" xfId="26909"/>
    <cellStyle name="表体文字 29 3" xfId="4538"/>
    <cellStyle name="表体文字 29 3 2" xfId="14569"/>
    <cellStyle name="表体文字 29 3 3" xfId="26911"/>
    <cellStyle name="表体文字 29 3 4" xfId="26915"/>
    <cellStyle name="表体文字 29 3 5" xfId="26917"/>
    <cellStyle name="表体文字 29 3 6" xfId="26919"/>
    <cellStyle name="表体文字 29 3 7" xfId="26921"/>
    <cellStyle name="表体文字 29 3 8" xfId="26923"/>
    <cellStyle name="表体文字 29 4" xfId="17839"/>
    <cellStyle name="表体文字 29 5" xfId="17843"/>
    <cellStyle name="表体文字 29 6" xfId="17847"/>
    <cellStyle name="表体文字 29 7" xfId="17851"/>
    <cellStyle name="表体文字 29 8" xfId="17855"/>
    <cellStyle name="表体文字 29 9" xfId="17860"/>
    <cellStyle name="表体文字 3" xfId="26925"/>
    <cellStyle name="表体文字 3 10" xfId="26926"/>
    <cellStyle name="表体文字 3 2" xfId="26927"/>
    <cellStyle name="表体文字 3 2 2" xfId="26928"/>
    <cellStyle name="表体文字 3 2 3" xfId="14183"/>
    <cellStyle name="表体文字 3 2 4" xfId="14188"/>
    <cellStyle name="表体文字 3 2 5" xfId="14193"/>
    <cellStyle name="表体文字 3 2 6" xfId="14198"/>
    <cellStyle name="表体文字 3 2 7" xfId="14201"/>
    <cellStyle name="表体文字 3 2 8" xfId="14204"/>
    <cellStyle name="表体文字 3 3" xfId="26931"/>
    <cellStyle name="表体文字 3 3 2" xfId="26932"/>
    <cellStyle name="表体文字 3 3 3" xfId="26933"/>
    <cellStyle name="表体文字 3 3 4" xfId="26934"/>
    <cellStyle name="表体文字 3 3 5" xfId="26935"/>
    <cellStyle name="表体文字 3 3 6" xfId="26936"/>
    <cellStyle name="表体文字 3 3 7" xfId="26937"/>
    <cellStyle name="表体文字 3 3 8" xfId="26938"/>
    <cellStyle name="表体文字 3 4" xfId="26939"/>
    <cellStyle name="表体文字 3 5" xfId="26940"/>
    <cellStyle name="表体文字 3 6" xfId="19415"/>
    <cellStyle name="表体文字 3 7" xfId="19417"/>
    <cellStyle name="表体文字 3 8" xfId="19419"/>
    <cellStyle name="表体文字 3 9" xfId="19422"/>
    <cellStyle name="表体文字 30" xfId="19164"/>
    <cellStyle name="表体文字 30 10" xfId="12723"/>
    <cellStyle name="表体文字 30 2" xfId="2167"/>
    <cellStyle name="表体文字 30 2 2" xfId="14336"/>
    <cellStyle name="表体文字 30 2 3" xfId="26762"/>
    <cellStyle name="表体文字 30 2 4" xfId="26764"/>
    <cellStyle name="表体文字 30 2 5" xfId="26766"/>
    <cellStyle name="表体文字 30 2 6" xfId="26768"/>
    <cellStyle name="表体文字 30 2 7" xfId="12784"/>
    <cellStyle name="表体文字 30 2 8" xfId="12790"/>
    <cellStyle name="表体文字 30 3" xfId="2171"/>
    <cellStyle name="表体文字 30 3 2" xfId="14368"/>
    <cellStyle name="表体文字 30 3 3" xfId="25527"/>
    <cellStyle name="表体文字 30 3 4" xfId="26770"/>
    <cellStyle name="表体文字 30 3 5" xfId="26772"/>
    <cellStyle name="表体文字 30 3 6" xfId="26774"/>
    <cellStyle name="表体文字 30 3 7" xfId="12806"/>
    <cellStyle name="表体文字 30 3 8" xfId="26776"/>
    <cellStyle name="表体文字 30 4" xfId="2175"/>
    <cellStyle name="表体文字 30 5" xfId="2179"/>
    <cellStyle name="表体文字 30 6" xfId="2185"/>
    <cellStyle name="表体文字 30 7" xfId="20818"/>
    <cellStyle name="表体文字 30 8" xfId="26778"/>
    <cellStyle name="表体文字 30 9" xfId="26780"/>
    <cellStyle name="表体文字 31" xfId="4510"/>
    <cellStyle name="表体文字 31 10" xfId="26782"/>
    <cellStyle name="表体文字 31 2" xfId="2198"/>
    <cellStyle name="表体文字 31 2 2" xfId="8727"/>
    <cellStyle name="表体文字 31 2 3" xfId="26784"/>
    <cellStyle name="表体文字 31 2 4" xfId="26786"/>
    <cellStyle name="表体文字 31 2 5" xfId="26788"/>
    <cellStyle name="表体文字 31 2 6" xfId="26790"/>
    <cellStyle name="表体文字 31 2 7" xfId="26792"/>
    <cellStyle name="表体文字 31 2 8" xfId="26794"/>
    <cellStyle name="表体文字 31 3" xfId="2202"/>
    <cellStyle name="表体文字 31 3 2" xfId="14432"/>
    <cellStyle name="表体文字 31 3 3" xfId="26797"/>
    <cellStyle name="表体文字 31 3 4" xfId="26800"/>
    <cellStyle name="表体文字 31 3 5" xfId="26802"/>
    <cellStyle name="表体文字 31 3 6" xfId="26804"/>
    <cellStyle name="表体文字 31 3 7" xfId="26806"/>
    <cellStyle name="表体文字 31 3 8" xfId="26808"/>
    <cellStyle name="表体文字 31 4" xfId="2206"/>
    <cellStyle name="表体文字 31 5" xfId="26810"/>
    <cellStyle name="表体文字 31 6" xfId="26812"/>
    <cellStyle name="表体文字 31 7" xfId="26814"/>
    <cellStyle name="表体文字 31 8" xfId="26816"/>
    <cellStyle name="表体文字 31 9" xfId="26818"/>
    <cellStyle name="表体文字 32" xfId="4515"/>
    <cellStyle name="表体文字 32 10" xfId="26798"/>
    <cellStyle name="表体文字 32 2" xfId="4518"/>
    <cellStyle name="表体文字 32 2 2" xfId="14456"/>
    <cellStyle name="表体文字 32 2 3" xfId="26820"/>
    <cellStyle name="表体文字 32 2 4" xfId="26822"/>
    <cellStyle name="表体文字 32 2 5" xfId="26824"/>
    <cellStyle name="表体文字 32 2 6" xfId="26826"/>
    <cellStyle name="表体文字 32 2 7" xfId="26828"/>
    <cellStyle name="表体文字 32 2 8" xfId="26830"/>
    <cellStyle name="表体文字 32 3" xfId="4521"/>
    <cellStyle name="表体文字 32 3 2" xfId="14474"/>
    <cellStyle name="表体文字 32 3 3" xfId="26832"/>
    <cellStyle name="表体文字 32 3 4" xfId="26836"/>
    <cellStyle name="表体文字 32 3 5" xfId="26838"/>
    <cellStyle name="表体文字 32 3 6" xfId="26840"/>
    <cellStyle name="表体文字 32 3 7" xfId="26842"/>
    <cellStyle name="表体文字 32 3 8" xfId="26844"/>
    <cellStyle name="表体文字 32 4" xfId="26846"/>
    <cellStyle name="表体文字 32 5" xfId="26848"/>
    <cellStyle name="表体文字 32 6" xfId="26850"/>
    <cellStyle name="表体文字 32 7" xfId="26852"/>
    <cellStyle name="表体文字 32 8" xfId="26854"/>
    <cellStyle name="表体文字 32 9" xfId="26856"/>
    <cellStyle name="表体文字 33" xfId="4526"/>
    <cellStyle name="表体文字 33 10" xfId="26858"/>
    <cellStyle name="表体文字 33 2" xfId="2827"/>
    <cellStyle name="表体文字 33 2 2" xfId="8576"/>
    <cellStyle name="表体文字 33 2 3" xfId="26860"/>
    <cellStyle name="表体文字 33 2 4" xfId="26862"/>
    <cellStyle name="表体文字 33 2 5" xfId="26864"/>
    <cellStyle name="表体文字 33 2 6" xfId="26866"/>
    <cellStyle name="表体文字 33 2 7" xfId="26868"/>
    <cellStyle name="表体文字 33 2 8" xfId="26870"/>
    <cellStyle name="表体文字 33 3" xfId="2832"/>
    <cellStyle name="表体文字 33 3 2" xfId="14535"/>
    <cellStyle name="表体文字 33 3 3" xfId="26872"/>
    <cellStyle name="表体文字 33 3 4" xfId="26876"/>
    <cellStyle name="表体文字 33 3 5" xfId="26878"/>
    <cellStyle name="表体文字 33 3 6" xfId="26880"/>
    <cellStyle name="表体文字 33 3 7" xfId="26882"/>
    <cellStyle name="表体文字 33 3 8" xfId="26884"/>
    <cellStyle name="表体文字 33 4" xfId="26886"/>
    <cellStyle name="表体文字 33 5" xfId="26888"/>
    <cellStyle name="表体文字 33 6" xfId="26890"/>
    <cellStyle name="表体文字 33 7" xfId="26892"/>
    <cellStyle name="表体文字 33 8" xfId="26894"/>
    <cellStyle name="表体文字 33 9" xfId="26896"/>
    <cellStyle name="表体文字 34" xfId="4531"/>
    <cellStyle name="表体文字 34 10" xfId="26898"/>
    <cellStyle name="表体文字 34 2" xfId="4535"/>
    <cellStyle name="表体文字 34 2 2" xfId="14545"/>
    <cellStyle name="表体文字 34 2 3" xfId="26900"/>
    <cellStyle name="表体文字 34 2 4" xfId="26902"/>
    <cellStyle name="表体文字 34 2 5" xfId="26904"/>
    <cellStyle name="表体文字 34 2 6" xfId="26906"/>
    <cellStyle name="表体文字 34 2 7" xfId="26908"/>
    <cellStyle name="表体文字 34 2 8" xfId="26910"/>
    <cellStyle name="表体文字 34 3" xfId="4539"/>
    <cellStyle name="表体文字 34 3 2" xfId="14570"/>
    <cellStyle name="表体文字 34 3 3" xfId="26912"/>
    <cellStyle name="表体文字 34 3 4" xfId="26916"/>
    <cellStyle name="表体文字 34 3 5" xfId="26918"/>
    <cellStyle name="表体文字 34 3 6" xfId="26920"/>
    <cellStyle name="表体文字 34 3 7" xfId="26922"/>
    <cellStyle name="表体文字 34 3 8" xfId="26924"/>
    <cellStyle name="表体文字 34 4" xfId="17840"/>
    <cellStyle name="表体文字 34 5" xfId="17844"/>
    <cellStyle name="表体文字 34 6" xfId="17848"/>
    <cellStyle name="表体文字 34 7" xfId="17852"/>
    <cellStyle name="表体文字 34 8" xfId="17856"/>
    <cellStyle name="表体文字 34 9" xfId="17861"/>
    <cellStyle name="表体文字 35" xfId="4545"/>
    <cellStyle name="表体文字 35 10" xfId="26941"/>
    <cellStyle name="表体文字 35 2" xfId="4549"/>
    <cellStyle name="表体文字 35 2 2" xfId="14591"/>
    <cellStyle name="表体文字 35 2 3" xfId="26945"/>
    <cellStyle name="表体文字 35 2 4" xfId="26947"/>
    <cellStyle name="表体文字 35 2 5" xfId="26949"/>
    <cellStyle name="表体文字 35 2 6" xfId="26951"/>
    <cellStyle name="表体文字 35 2 7" xfId="26953"/>
    <cellStyle name="表体文字 35 2 8" xfId="26955"/>
    <cellStyle name="表体文字 35 3" xfId="4553"/>
    <cellStyle name="表体文字 35 3 2" xfId="14612"/>
    <cellStyle name="表体文字 35 3 3" xfId="26957"/>
    <cellStyle name="表体文字 35 3 4" xfId="26959"/>
    <cellStyle name="表体文字 35 3 5" xfId="26961"/>
    <cellStyle name="表体文字 35 3 6" xfId="12113"/>
    <cellStyle name="表体文字 35 3 7" xfId="12118"/>
    <cellStyle name="表体文字 35 3 8" xfId="26963"/>
    <cellStyle name="表体文字 35 4" xfId="17868"/>
    <cellStyle name="表体文字 35 5" xfId="17872"/>
    <cellStyle name="表体文字 35 6" xfId="17874"/>
    <cellStyle name="表体文字 35 7" xfId="985"/>
    <cellStyle name="表体文字 35 8" xfId="994"/>
    <cellStyle name="表体文字 35 9" xfId="999"/>
    <cellStyle name="表体文字 36" xfId="4557"/>
    <cellStyle name="表体文字 36 10" xfId="26965"/>
    <cellStyle name="表体文字 36 2" xfId="4560"/>
    <cellStyle name="表体文字 36 2 2" xfId="14646"/>
    <cellStyle name="表体文字 36 2 3" xfId="26967"/>
    <cellStyle name="表体文字 36 2 4" xfId="26969"/>
    <cellStyle name="表体文字 36 2 5" xfId="26971"/>
    <cellStyle name="表体文字 36 2 6" xfId="26973"/>
    <cellStyle name="表体文字 36 2 7" xfId="26975"/>
    <cellStyle name="表体文字 36 2 8" xfId="26977"/>
    <cellStyle name="表体文字 36 3" xfId="4564"/>
    <cellStyle name="表体文字 36 3 2" xfId="14664"/>
    <cellStyle name="表体文字 36 3 3" xfId="26979"/>
    <cellStyle name="表体文字 36 3 4" xfId="26981"/>
    <cellStyle name="表体文字 36 3 5" xfId="26983"/>
    <cellStyle name="表体文字 36 3 6" xfId="26985"/>
    <cellStyle name="表体文字 36 3 7" xfId="26987"/>
    <cellStyle name="表体文字 36 3 8" xfId="26989"/>
    <cellStyle name="表体文字 36 4" xfId="26991"/>
    <cellStyle name="表体文字 36 5" xfId="26993"/>
    <cellStyle name="表体文字 36 6" xfId="26995"/>
    <cellStyle name="表体文字 36 7" xfId="1057"/>
    <cellStyle name="表体文字 36 8" xfId="1065"/>
    <cellStyle name="表体文字 36 9" xfId="1068"/>
    <cellStyle name="表体文字 37" xfId="4314"/>
    <cellStyle name="表体文字 37 10" xfId="26833"/>
    <cellStyle name="表体文字 37 2" xfId="4567"/>
    <cellStyle name="表体文字 37 2 2" xfId="14706"/>
    <cellStyle name="表体文字 37 2 3" xfId="26997"/>
    <cellStyle name="表体文字 37 2 4" xfId="27001"/>
    <cellStyle name="表体文字 37 2 5" xfId="27005"/>
    <cellStyle name="表体文字 37 2 6" xfId="27007"/>
    <cellStyle name="表体文字 37 2 7" xfId="27009"/>
    <cellStyle name="表体文字 37 2 8" xfId="27011"/>
    <cellStyle name="表体文字 37 3" xfId="4571"/>
    <cellStyle name="表体文字 37 3 2" xfId="14734"/>
    <cellStyle name="表体文字 37 3 3" xfId="27013"/>
    <cellStyle name="表体文字 37 3 4" xfId="27017"/>
    <cellStyle name="表体文字 37 3 5" xfId="27021"/>
    <cellStyle name="表体文字 37 3 6" xfId="27023"/>
    <cellStyle name="表体文字 37 3 7" xfId="27025"/>
    <cellStyle name="表体文字 37 3 8" xfId="27027"/>
    <cellStyle name="表体文字 37 4" xfId="27029"/>
    <cellStyle name="表体文字 37 5" xfId="27032"/>
    <cellStyle name="表体文字 37 6" xfId="27034"/>
    <cellStyle name="表体文字 37 7" xfId="27036"/>
    <cellStyle name="表体文字 37 8" xfId="27038"/>
    <cellStyle name="表体文字 37 9" xfId="27040"/>
    <cellStyle name="表体文字 38" xfId="4321"/>
    <cellStyle name="表体文字 38 10" xfId="5333"/>
    <cellStyle name="表体文字 38 2" xfId="4226"/>
    <cellStyle name="表体文字 38 2 2" xfId="14799"/>
    <cellStyle name="表体文字 38 2 3" xfId="27042"/>
    <cellStyle name="表体文字 38 2 4" xfId="27045"/>
    <cellStyle name="表体文字 38 2 5" xfId="27047"/>
    <cellStyle name="表体文字 38 2 6" xfId="27049"/>
    <cellStyle name="表体文字 38 2 7" xfId="27051"/>
    <cellStyle name="表体文字 38 2 8" xfId="27053"/>
    <cellStyle name="表体文字 38 3" xfId="4574"/>
    <cellStyle name="表体文字 38 3 2" xfId="14818"/>
    <cellStyle name="表体文字 38 3 3" xfId="27055"/>
    <cellStyle name="表体文字 38 3 4" xfId="27057"/>
    <cellStyle name="表体文字 38 3 5" xfId="27059"/>
    <cellStyle name="表体文字 38 3 6" xfId="27061"/>
    <cellStyle name="表体文字 38 3 7" xfId="27063"/>
    <cellStyle name="表体文字 38 3 8" xfId="27065"/>
    <cellStyle name="表体文字 38 4" xfId="27067"/>
    <cellStyle name="表体文字 38 5" xfId="27070"/>
    <cellStyle name="表体文字 38 6" xfId="27073"/>
    <cellStyle name="表体文字 38 7" xfId="27076"/>
    <cellStyle name="表体文字 38 8" xfId="27081"/>
    <cellStyle name="表体文字 38 9" xfId="27086"/>
    <cellStyle name="表体文字 39" xfId="27091"/>
    <cellStyle name="表体文字 39 10" xfId="4457"/>
    <cellStyle name="表体文字 39 2" xfId="27093"/>
    <cellStyle name="表体文字 39 2 2" xfId="14850"/>
    <cellStyle name="表体文字 39 2 3" xfId="27095"/>
    <cellStyle name="表体文字 39 2 4" xfId="27097"/>
    <cellStyle name="表体文字 39 2 5" xfId="27099"/>
    <cellStyle name="表体文字 39 2 6" xfId="27101"/>
    <cellStyle name="表体文字 39 2 7" xfId="27103"/>
    <cellStyle name="表体文字 39 2 8" xfId="27105"/>
    <cellStyle name="表体文字 39 3" xfId="27107"/>
    <cellStyle name="表体文字 39 3 2" xfId="14866"/>
    <cellStyle name="表体文字 39 3 3" xfId="27109"/>
    <cellStyle name="表体文字 39 3 4" xfId="27111"/>
    <cellStyle name="表体文字 39 3 5" xfId="27113"/>
    <cellStyle name="表体文字 39 3 6" xfId="27115"/>
    <cellStyle name="表体文字 39 3 7" xfId="27117"/>
    <cellStyle name="表体文字 39 3 8" xfId="27119"/>
    <cellStyle name="表体文字 39 4" xfId="19893"/>
    <cellStyle name="表体文字 39 5" xfId="19912"/>
    <cellStyle name="表体文字 39 6" xfId="19933"/>
    <cellStyle name="表体文字 39 7" xfId="19964"/>
    <cellStyle name="表体文字 39 8" xfId="19978"/>
    <cellStyle name="表体文字 39 9" xfId="19986"/>
    <cellStyle name="表体文字 4" xfId="27121"/>
    <cellStyle name="表体文字 4 10" xfId="22567"/>
    <cellStyle name="表体文字 4 2" xfId="1127"/>
    <cellStyle name="表体文字 4 2 2" xfId="27122"/>
    <cellStyle name="表体文字 4 2 3" xfId="14264"/>
    <cellStyle name="表体文字 4 2 4" xfId="14270"/>
    <cellStyle name="表体文字 4 2 5" xfId="14276"/>
    <cellStyle name="表体文字 4 2 6" xfId="14282"/>
    <cellStyle name="表体文字 4 2 7" xfId="14287"/>
    <cellStyle name="表体文字 4 2 8" xfId="14292"/>
    <cellStyle name="表体文字 4 3" xfId="27125"/>
    <cellStyle name="表体文字 4 3 2" xfId="2648"/>
    <cellStyle name="表体文字 4 3 3" xfId="2657"/>
    <cellStyle name="表体文字 4 3 4" xfId="2662"/>
    <cellStyle name="表体文字 4 3 5" xfId="2665"/>
    <cellStyle name="表体文字 4 3 6" xfId="2668"/>
    <cellStyle name="表体文字 4 3 7" xfId="2671"/>
    <cellStyle name="表体文字 4 3 8" xfId="2674"/>
    <cellStyle name="表体文字 4 4" xfId="27126"/>
    <cellStyle name="表体文字 4 5" xfId="27127"/>
    <cellStyle name="表体文字 4 6" xfId="27128"/>
    <cellStyle name="表体文字 4 7" xfId="27129"/>
    <cellStyle name="表体文字 4 8" xfId="27130"/>
    <cellStyle name="表体文字 4 9" xfId="27131"/>
    <cellStyle name="表体文字 40" xfId="4546"/>
    <cellStyle name="表体文字 40 10" xfId="26942"/>
    <cellStyle name="表体文字 40 2" xfId="4550"/>
    <cellStyle name="表体文字 40 2 2" xfId="14592"/>
    <cellStyle name="表体文字 40 2 3" xfId="26946"/>
    <cellStyle name="表体文字 40 2 4" xfId="26948"/>
    <cellStyle name="表体文字 40 2 5" xfId="26950"/>
    <cellStyle name="表体文字 40 2 6" xfId="26952"/>
    <cellStyle name="表体文字 40 2 7" xfId="26954"/>
    <cellStyle name="表体文字 40 2 8" xfId="26956"/>
    <cellStyle name="表体文字 40 3" xfId="4554"/>
    <cellStyle name="表体文字 40 3 2" xfId="14613"/>
    <cellStyle name="表体文字 40 3 3" xfId="26958"/>
    <cellStyle name="表体文字 40 3 4" xfId="26960"/>
    <cellStyle name="表体文字 40 3 5" xfId="26962"/>
    <cellStyle name="表体文字 40 3 6" xfId="12114"/>
    <cellStyle name="表体文字 40 3 7" xfId="12119"/>
    <cellStyle name="表体文字 40 3 8" xfId="26964"/>
    <cellStyle name="表体文字 40 4" xfId="17869"/>
    <cellStyle name="表体文字 40 5" xfId="17873"/>
    <cellStyle name="表体文字 40 6" xfId="17875"/>
    <cellStyle name="表体文字 40 7" xfId="984"/>
    <cellStyle name="表体文字 40 8" xfId="993"/>
    <cellStyle name="表体文字 40 9" xfId="998"/>
    <cellStyle name="表体文字 41" xfId="4558"/>
    <cellStyle name="表体文字 41 10" xfId="26966"/>
    <cellStyle name="表体文字 41 2" xfId="4561"/>
    <cellStyle name="表体文字 41 2 2" xfId="14647"/>
    <cellStyle name="表体文字 41 2 3" xfId="26968"/>
    <cellStyle name="表体文字 41 2 4" xfId="26970"/>
    <cellStyle name="表体文字 41 2 5" xfId="26972"/>
    <cellStyle name="表体文字 41 2 6" xfId="26974"/>
    <cellStyle name="表体文字 41 2 7" xfId="26976"/>
    <cellStyle name="表体文字 41 2 8" xfId="26978"/>
    <cellStyle name="表体文字 41 3" xfId="4565"/>
    <cellStyle name="表体文字 41 3 2" xfId="14665"/>
    <cellStyle name="表体文字 41 3 3" xfId="26980"/>
    <cellStyle name="表体文字 41 3 4" xfId="26982"/>
    <cellStyle name="表体文字 41 3 5" xfId="26984"/>
    <cellStyle name="表体文字 41 3 6" xfId="26986"/>
    <cellStyle name="表体文字 41 3 7" xfId="26988"/>
    <cellStyle name="表体文字 41 3 8" xfId="26990"/>
    <cellStyle name="表体文字 41 4" xfId="26992"/>
    <cellStyle name="表体文字 41 5" xfId="26994"/>
    <cellStyle name="表体文字 41 6" xfId="26996"/>
    <cellStyle name="表体文字 41 7" xfId="1056"/>
    <cellStyle name="表体文字 41 8" xfId="1064"/>
    <cellStyle name="表体文字 41 9" xfId="1067"/>
    <cellStyle name="表体文字 42" xfId="4315"/>
    <cellStyle name="表体文字 42 10" xfId="26834"/>
    <cellStyle name="表体文字 42 2" xfId="4568"/>
    <cellStyle name="表体文字 42 2 2" xfId="14707"/>
    <cellStyle name="表体文字 42 2 3" xfId="26998"/>
    <cellStyle name="表体文字 42 2 4" xfId="27002"/>
    <cellStyle name="表体文字 42 2 5" xfId="27006"/>
    <cellStyle name="表体文字 42 2 6" xfId="27008"/>
    <cellStyle name="表体文字 42 2 7" xfId="27010"/>
    <cellStyle name="表体文字 42 2 8" xfId="27012"/>
    <cellStyle name="表体文字 42 3" xfId="4572"/>
    <cellStyle name="表体文字 42 3 2" xfId="14735"/>
    <cellStyle name="表体文字 42 3 3" xfId="27014"/>
    <cellStyle name="表体文字 42 3 4" xfId="27018"/>
    <cellStyle name="表体文字 42 3 5" xfId="27022"/>
    <cellStyle name="表体文字 42 3 6" xfId="27024"/>
    <cellStyle name="表体文字 42 3 7" xfId="27026"/>
    <cellStyle name="表体文字 42 3 8" xfId="27028"/>
    <cellStyle name="表体文字 42 4" xfId="27030"/>
    <cellStyle name="表体文字 42 5" xfId="27033"/>
    <cellStyle name="表体文字 42 6" xfId="27035"/>
    <cellStyle name="表体文字 42 7" xfId="27037"/>
    <cellStyle name="表体文字 42 8" xfId="27039"/>
    <cellStyle name="表体文字 42 9" xfId="27041"/>
    <cellStyle name="表体文字 43" xfId="4322"/>
    <cellStyle name="表体文字 43 10" xfId="5334"/>
    <cellStyle name="表体文字 43 2" xfId="4227"/>
    <cellStyle name="表体文字 43 2 2" xfId="14800"/>
    <cellStyle name="表体文字 43 2 3" xfId="27043"/>
    <cellStyle name="表体文字 43 2 4" xfId="27046"/>
    <cellStyle name="表体文字 43 2 5" xfId="27048"/>
    <cellStyle name="表体文字 43 2 6" xfId="27050"/>
    <cellStyle name="表体文字 43 2 7" xfId="27052"/>
    <cellStyle name="表体文字 43 2 8" xfId="27054"/>
    <cellStyle name="表体文字 43 3" xfId="4575"/>
    <cellStyle name="表体文字 43 3 2" xfId="14819"/>
    <cellStyle name="表体文字 43 3 3" xfId="27056"/>
    <cellStyle name="表体文字 43 3 4" xfId="27058"/>
    <cellStyle name="表体文字 43 3 5" xfId="27060"/>
    <cellStyle name="表体文字 43 3 6" xfId="27062"/>
    <cellStyle name="表体文字 43 3 7" xfId="27064"/>
    <cellStyle name="表体文字 43 3 8" xfId="27066"/>
    <cellStyle name="表体文字 43 4" xfId="27068"/>
    <cellStyle name="表体文字 43 5" xfId="27071"/>
    <cellStyle name="表体文字 43 6" xfId="27074"/>
    <cellStyle name="表体文字 43 7" xfId="27077"/>
    <cellStyle name="表体文字 43 8" xfId="27082"/>
    <cellStyle name="表体文字 43 9" xfId="27087"/>
    <cellStyle name="表体文字 44" xfId="27092"/>
    <cellStyle name="表体文字 44 10" xfId="4458"/>
    <cellStyle name="表体文字 44 2" xfId="27094"/>
    <cellStyle name="表体文字 44 2 2" xfId="14851"/>
    <cellStyle name="表体文字 44 2 3" xfId="27096"/>
    <cellStyle name="表体文字 44 2 4" xfId="27098"/>
    <cellStyle name="表体文字 44 2 5" xfId="27100"/>
    <cellStyle name="表体文字 44 2 6" xfId="27102"/>
    <cellStyle name="表体文字 44 2 7" xfId="27104"/>
    <cellStyle name="表体文字 44 2 8" xfId="27106"/>
    <cellStyle name="表体文字 44 3" xfId="27108"/>
    <cellStyle name="表体文字 44 3 2" xfId="14867"/>
    <cellStyle name="表体文字 44 3 3" xfId="27110"/>
    <cellStyle name="表体文字 44 3 4" xfId="27112"/>
    <cellStyle name="表体文字 44 3 5" xfId="27114"/>
    <cellStyle name="表体文字 44 3 6" xfId="27116"/>
    <cellStyle name="表体文字 44 3 7" xfId="27118"/>
    <cellStyle name="表体文字 44 3 8" xfId="27120"/>
    <cellStyle name="表体文字 44 4" xfId="19894"/>
    <cellStyle name="表体文字 44 5" xfId="19913"/>
    <cellStyle name="表体文字 44 6" xfId="19934"/>
    <cellStyle name="表体文字 44 7" xfId="19965"/>
    <cellStyle name="表体文字 44 8" xfId="19979"/>
    <cellStyle name="表体文字 44 9" xfId="19987"/>
    <cellStyle name="表体文字 45" xfId="27132"/>
    <cellStyle name="表体文字 45 10" xfId="27134"/>
    <cellStyle name="表体文字 45 2" xfId="20975"/>
    <cellStyle name="表体文字 45 2 2" xfId="14904"/>
    <cellStyle name="表体文字 45 2 3" xfId="20991"/>
    <cellStyle name="表体文字 45 2 4" xfId="21009"/>
    <cellStyle name="表体文字 45 2 5" xfId="21013"/>
    <cellStyle name="表体文字 45 2 6" xfId="21017"/>
    <cellStyle name="表体文字 45 2 7" xfId="21021"/>
    <cellStyle name="表体文字 45 2 8" xfId="21025"/>
    <cellStyle name="表体文字 45 3" xfId="21031"/>
    <cellStyle name="表体文字 45 3 2" xfId="14926"/>
    <cellStyle name="表体文字 45 3 3" xfId="21053"/>
    <cellStyle name="表体文字 45 3 4" xfId="21071"/>
    <cellStyle name="表体文字 45 3 5" xfId="21075"/>
    <cellStyle name="表体文字 45 3 6" xfId="21079"/>
    <cellStyle name="表体文字 45 3 7" xfId="21083"/>
    <cellStyle name="表体文字 45 3 8" xfId="21087"/>
    <cellStyle name="表体文字 45 4" xfId="21102"/>
    <cellStyle name="表体文字 45 5" xfId="21136"/>
    <cellStyle name="表体文字 45 6" xfId="21184"/>
    <cellStyle name="表体文字 45 7" xfId="21208"/>
    <cellStyle name="表体文字 45 8" xfId="21252"/>
    <cellStyle name="表体文字 45 9" xfId="21285"/>
    <cellStyle name="表体文字 46" xfId="7566"/>
    <cellStyle name="表体文字 46 10" xfId="27138"/>
    <cellStyle name="表体文字 46 2" xfId="27140"/>
    <cellStyle name="表体文字 46 2 2" xfId="14972"/>
    <cellStyle name="表体文字 46 2 3" xfId="22687"/>
    <cellStyle name="表体文字 46 2 4" xfId="22691"/>
    <cellStyle name="表体文字 46 2 5" xfId="8313"/>
    <cellStyle name="表体文字 46 2 6" xfId="8317"/>
    <cellStyle name="表体文字 46 2 7" xfId="22694"/>
    <cellStyle name="表体文字 46 2 8" xfId="27142"/>
    <cellStyle name="表体文字 46 3" xfId="27144"/>
    <cellStyle name="表体文字 46 3 2" xfId="15003"/>
    <cellStyle name="表体文字 46 3 3" xfId="22731"/>
    <cellStyle name="表体文字 46 3 4" xfId="22736"/>
    <cellStyle name="表体文字 46 3 5" xfId="8324"/>
    <cellStyle name="表体文字 46 3 6" xfId="8329"/>
    <cellStyle name="表体文字 46 3 7" xfId="22740"/>
    <cellStyle name="表体文字 46 3 8" xfId="27146"/>
    <cellStyle name="表体文字 46 4" xfId="27148"/>
    <cellStyle name="表体文字 46 5" xfId="27150"/>
    <cellStyle name="表体文字 46 6" xfId="27152"/>
    <cellStyle name="表体文字 46 7" xfId="27154"/>
    <cellStyle name="表体文字 46 8" xfId="27156"/>
    <cellStyle name="表体文字 46 9" xfId="27158"/>
    <cellStyle name="表体文字 47" xfId="7569"/>
    <cellStyle name="表体文字 47 10" xfId="26873"/>
    <cellStyle name="表体文字 47 2" xfId="27160"/>
    <cellStyle name="表体文字 47 2 2" xfId="15054"/>
    <cellStyle name="表体文字 47 2 3" xfId="25160"/>
    <cellStyle name="表体文字 47 2 4" xfId="25165"/>
    <cellStyle name="表体文字 47 2 5" xfId="8403"/>
    <cellStyle name="表体文字 47 2 6" xfId="8410"/>
    <cellStyle name="表体文字 47 2 7" xfId="25169"/>
    <cellStyle name="表体文字 47 2 8" xfId="27162"/>
    <cellStyle name="表体文字 47 3" xfId="27164"/>
    <cellStyle name="表体文字 47 3 2" xfId="15081"/>
    <cellStyle name="表体文字 47 3 3" xfId="25214"/>
    <cellStyle name="表体文字 47 3 4" xfId="25218"/>
    <cellStyle name="表体文字 47 3 5" xfId="8418"/>
    <cellStyle name="表体文字 47 3 6" xfId="8424"/>
    <cellStyle name="表体文字 47 3 7" xfId="25221"/>
    <cellStyle name="表体文字 47 3 8" xfId="27166"/>
    <cellStyle name="表体文字 47 4" xfId="27168"/>
    <cellStyle name="表体文字 47 5" xfId="27170"/>
    <cellStyle name="表体文字 47 6" xfId="27172"/>
    <cellStyle name="表体文字 47 7" xfId="27174"/>
    <cellStyle name="表体文字 47 8" xfId="27176"/>
    <cellStyle name="表体文字 47 9" xfId="27178"/>
    <cellStyle name="表体文字 48" xfId="27180"/>
    <cellStyle name="表体文字 48 10" xfId="27182"/>
    <cellStyle name="表体文字 48 2" xfId="27184"/>
    <cellStyle name="表体文字 48 2 2" xfId="15136"/>
    <cellStyle name="表体文字 48 2 3" xfId="25597"/>
    <cellStyle name="表体文字 48 2 4" xfId="25600"/>
    <cellStyle name="表体文字 48 2 5" xfId="25603"/>
    <cellStyle name="表体文字 48 2 6" xfId="27186"/>
    <cellStyle name="表体文字 48 2 7" xfId="27188"/>
    <cellStyle name="表体文字 48 2 8" xfId="27190"/>
    <cellStyle name="表体文字 48 3" xfId="27192"/>
    <cellStyle name="表体文字 48 3 2" xfId="15150"/>
    <cellStyle name="表体文字 48 3 3" xfId="25606"/>
    <cellStyle name="表体文字 48 3 4" xfId="25609"/>
    <cellStyle name="表体文字 48 3 5" xfId="25612"/>
    <cellStyle name="表体文字 48 3 6" xfId="27194"/>
    <cellStyle name="表体文字 48 3 7" xfId="27196"/>
    <cellStyle name="表体文字 48 3 8" xfId="27198"/>
    <cellStyle name="表体文字 48 4" xfId="27200"/>
    <cellStyle name="表体文字 48 5" xfId="27202"/>
    <cellStyle name="表体文字 48 6" xfId="27204"/>
    <cellStyle name="表体文字 48 7" xfId="27206"/>
    <cellStyle name="表体文字 48 8" xfId="27208"/>
    <cellStyle name="表体文字 48 9" xfId="27210"/>
    <cellStyle name="表体文字 49" xfId="27212"/>
    <cellStyle name="表体文字 49 10" xfId="27214"/>
    <cellStyle name="表体文字 49 2" xfId="27216"/>
    <cellStyle name="表体文字 49 2 2" xfId="25620"/>
    <cellStyle name="表体文字 49 2 3" xfId="25623"/>
    <cellStyle name="表体文字 49 2 4" xfId="25626"/>
    <cellStyle name="表体文字 49 2 5" xfId="25629"/>
    <cellStyle name="表体文字 49 2 6" xfId="27218"/>
    <cellStyle name="表体文字 49 2 7" xfId="4317"/>
    <cellStyle name="表体文字 49 2 8" xfId="4324"/>
    <cellStyle name="表体文字 49 3" xfId="27220"/>
    <cellStyle name="表体文字 49 3 2" xfId="25635"/>
    <cellStyle name="表体文字 49 3 3" xfId="25638"/>
    <cellStyle name="表体文字 49 3 4" xfId="25641"/>
    <cellStyle name="表体文字 49 3 5" xfId="25644"/>
    <cellStyle name="表体文字 49 3 6" xfId="27222"/>
    <cellStyle name="表体文字 49 3 7" xfId="27224"/>
    <cellStyle name="表体文字 49 3 8" xfId="27226"/>
    <cellStyle name="表体文字 49 4" xfId="21673"/>
    <cellStyle name="表体文字 49 5" xfId="27228"/>
    <cellStyle name="表体文字 49 6" xfId="27230"/>
    <cellStyle name="表体文字 49 7" xfId="27232"/>
    <cellStyle name="表体文字 49 8" xfId="27234"/>
    <cellStyle name="表体文字 49 9" xfId="20022"/>
    <cellStyle name="表体文字 5" xfId="27236"/>
    <cellStyle name="表体文字 5 10" xfId="27237"/>
    <cellStyle name="表体文字 5 2" xfId="27238"/>
    <cellStyle name="表体文字 5 2 2" xfId="27239"/>
    <cellStyle name="表体文字 5 2 3" xfId="14341"/>
    <cellStyle name="表体文字 5 2 4" xfId="14346"/>
    <cellStyle name="表体文字 5 2 5" xfId="14351"/>
    <cellStyle name="表体文字 5 2 6" xfId="14356"/>
    <cellStyle name="表体文字 5 2 7" xfId="14359"/>
    <cellStyle name="表体文字 5 2 8" xfId="14362"/>
    <cellStyle name="表体文字 5 3" xfId="27242"/>
    <cellStyle name="表体文字 5 3 2" xfId="27243"/>
    <cellStyle name="表体文字 5 3 3" xfId="27244"/>
    <cellStyle name="表体文字 5 3 4" xfId="27245"/>
    <cellStyle name="表体文字 5 3 5" xfId="27246"/>
    <cellStyle name="表体文字 5 3 6" xfId="12526"/>
    <cellStyle name="表体文字 5 3 7" xfId="12528"/>
    <cellStyle name="表体文字 5 3 8" xfId="12530"/>
    <cellStyle name="表体文字 5 4" xfId="27247"/>
    <cellStyle name="表体文字 5 5" xfId="27248"/>
    <cellStyle name="表体文字 5 6" xfId="27249"/>
    <cellStyle name="表体文字 5 7" xfId="27250"/>
    <cellStyle name="表体文字 5 8" xfId="27251"/>
    <cellStyle name="表体文字 5 9" xfId="27252"/>
    <cellStyle name="表体文字 50" xfId="27133"/>
    <cellStyle name="表体文字 50 10" xfId="27135"/>
    <cellStyle name="表体文字 50 2" xfId="20976"/>
    <cellStyle name="表体文字 50 2 2" xfId="14905"/>
    <cellStyle name="表体文字 50 2 3" xfId="20992"/>
    <cellStyle name="表体文字 50 2 4" xfId="21010"/>
    <cellStyle name="表体文字 50 2 5" xfId="21014"/>
    <cellStyle name="表体文字 50 2 6" xfId="21018"/>
    <cellStyle name="表体文字 50 2 7" xfId="21022"/>
    <cellStyle name="表体文字 50 2 8" xfId="21026"/>
    <cellStyle name="表体文字 50 3" xfId="21032"/>
    <cellStyle name="表体文字 50 3 2" xfId="14927"/>
    <cellStyle name="表体文字 50 3 3" xfId="21054"/>
    <cellStyle name="表体文字 50 3 4" xfId="21072"/>
    <cellStyle name="表体文字 50 3 5" xfId="21076"/>
    <cellStyle name="表体文字 50 3 6" xfId="21080"/>
    <cellStyle name="表体文字 50 3 7" xfId="21084"/>
    <cellStyle name="表体文字 50 3 8" xfId="21088"/>
    <cellStyle name="表体文字 50 4" xfId="21103"/>
    <cellStyle name="表体文字 50 5" xfId="21137"/>
    <cellStyle name="表体文字 50 6" xfId="21185"/>
    <cellStyle name="表体文字 50 7" xfId="21209"/>
    <cellStyle name="表体文字 50 8" xfId="21253"/>
    <cellStyle name="表体文字 50 9" xfId="21286"/>
    <cellStyle name="表体文字 51" xfId="7567"/>
    <cellStyle name="表体文字 51 10" xfId="27139"/>
    <cellStyle name="表体文字 51 2" xfId="27141"/>
    <cellStyle name="表体文字 51 2 2" xfId="14973"/>
    <cellStyle name="表体文字 51 2 3" xfId="22688"/>
    <cellStyle name="表体文字 51 2 4" xfId="22692"/>
    <cellStyle name="表体文字 51 2 5" xfId="8314"/>
    <cellStyle name="表体文字 51 2 6" xfId="8318"/>
    <cellStyle name="表体文字 51 2 7" xfId="22695"/>
    <cellStyle name="表体文字 51 2 8" xfId="27143"/>
    <cellStyle name="表体文字 51 3" xfId="27145"/>
    <cellStyle name="表体文字 51 3 2" xfId="15004"/>
    <cellStyle name="表体文字 51 3 3" xfId="22732"/>
    <cellStyle name="表体文字 51 3 4" xfId="22737"/>
    <cellStyle name="表体文字 51 3 5" xfId="8325"/>
    <cellStyle name="表体文字 51 3 6" xfId="8330"/>
    <cellStyle name="表体文字 51 3 7" xfId="22741"/>
    <cellStyle name="表体文字 51 3 8" xfId="27147"/>
    <cellStyle name="表体文字 51 4" xfId="27149"/>
    <cellStyle name="表体文字 51 5" xfId="27151"/>
    <cellStyle name="表体文字 51 6" xfId="27153"/>
    <cellStyle name="表体文字 51 7" xfId="27155"/>
    <cellStyle name="表体文字 51 8" xfId="27157"/>
    <cellStyle name="表体文字 51 9" xfId="27159"/>
    <cellStyle name="表体文字 52" xfId="7570"/>
    <cellStyle name="表体文字 52 10" xfId="26874"/>
    <cellStyle name="表体文字 52 2" xfId="27161"/>
    <cellStyle name="表体文字 52 2 2" xfId="15055"/>
    <cellStyle name="表体文字 52 2 3" xfId="25161"/>
    <cellStyle name="表体文字 52 2 4" xfId="25166"/>
    <cellStyle name="表体文字 52 2 5" xfId="8404"/>
    <cellStyle name="表体文字 52 2 6" xfId="8411"/>
    <cellStyle name="表体文字 52 2 7" xfId="25170"/>
    <cellStyle name="表体文字 52 2 8" xfId="27163"/>
    <cellStyle name="表体文字 52 3" xfId="27165"/>
    <cellStyle name="表体文字 52 3 2" xfId="15082"/>
    <cellStyle name="表体文字 52 3 3" xfId="25215"/>
    <cellStyle name="表体文字 52 3 4" xfId="25219"/>
    <cellStyle name="表体文字 52 3 5" xfId="8419"/>
    <cellStyle name="表体文字 52 3 6" xfId="8425"/>
    <cellStyle name="表体文字 52 3 7" xfId="25222"/>
    <cellStyle name="表体文字 52 3 8" xfId="27167"/>
    <cellStyle name="表体文字 52 4" xfId="27169"/>
    <cellStyle name="表体文字 52 5" xfId="27171"/>
    <cellStyle name="表体文字 52 6" xfId="27173"/>
    <cellStyle name="表体文字 52 7" xfId="27175"/>
    <cellStyle name="表体文字 52 8" xfId="27177"/>
    <cellStyle name="表体文字 52 9" xfId="27179"/>
    <cellStyle name="表体文字 53" xfId="27181"/>
    <cellStyle name="表体文字 53 10" xfId="27183"/>
    <cellStyle name="表体文字 53 2" xfId="27185"/>
    <cellStyle name="表体文字 53 2 2" xfId="15137"/>
    <cellStyle name="表体文字 53 2 3" xfId="25598"/>
    <cellStyle name="表体文字 53 2 4" xfId="25601"/>
    <cellStyle name="表体文字 53 2 5" xfId="25604"/>
    <cellStyle name="表体文字 53 2 6" xfId="27187"/>
    <cellStyle name="表体文字 53 2 7" xfId="27189"/>
    <cellStyle name="表体文字 53 2 8" xfId="27191"/>
    <cellStyle name="表体文字 53 3" xfId="27193"/>
    <cellStyle name="表体文字 53 3 2" xfId="15151"/>
    <cellStyle name="表体文字 53 3 3" xfId="25607"/>
    <cellStyle name="表体文字 53 3 4" xfId="25610"/>
    <cellStyle name="表体文字 53 3 5" xfId="25613"/>
    <cellStyle name="表体文字 53 3 6" xfId="27195"/>
    <cellStyle name="表体文字 53 3 7" xfId="27197"/>
    <cellStyle name="表体文字 53 3 8" xfId="27199"/>
    <cellStyle name="表体文字 53 4" xfId="27201"/>
    <cellStyle name="表体文字 53 5" xfId="27203"/>
    <cellStyle name="表体文字 53 6" xfId="27205"/>
    <cellStyle name="表体文字 53 7" xfId="27207"/>
    <cellStyle name="表体文字 53 8" xfId="27209"/>
    <cellStyle name="表体文字 53 9" xfId="27211"/>
    <cellStyle name="表体文字 54" xfId="27213"/>
    <cellStyle name="表体文字 54 10" xfId="27215"/>
    <cellStyle name="表体文字 54 2" xfId="27217"/>
    <cellStyle name="表体文字 54 2 2" xfId="25621"/>
    <cellStyle name="表体文字 54 2 3" xfId="25624"/>
    <cellStyle name="表体文字 54 2 4" xfId="25627"/>
    <cellStyle name="表体文字 54 2 5" xfId="25630"/>
    <cellStyle name="表体文字 54 2 6" xfId="27219"/>
    <cellStyle name="表体文字 54 2 7" xfId="4318"/>
    <cellStyle name="表体文字 54 2 8" xfId="4325"/>
    <cellStyle name="表体文字 54 3" xfId="27221"/>
    <cellStyle name="表体文字 54 3 2" xfId="25636"/>
    <cellStyle name="表体文字 54 3 3" xfId="25639"/>
    <cellStyle name="表体文字 54 3 4" xfId="25642"/>
    <cellStyle name="表体文字 54 3 5" xfId="25645"/>
    <cellStyle name="表体文字 54 3 6" xfId="27223"/>
    <cellStyle name="表体文字 54 3 7" xfId="27225"/>
    <cellStyle name="表体文字 54 3 8" xfId="27227"/>
    <cellStyle name="表体文字 54 4" xfId="21674"/>
    <cellStyle name="表体文字 54 5" xfId="27229"/>
    <cellStyle name="表体文字 54 6" xfId="27231"/>
    <cellStyle name="表体文字 54 7" xfId="27233"/>
    <cellStyle name="表体文字 54 8" xfId="27235"/>
    <cellStyle name="表体文字 54 9" xfId="20023"/>
    <cellStyle name="表体文字 55" xfId="27253"/>
    <cellStyle name="表体文字 55 10" xfId="27257"/>
    <cellStyle name="表体文字 55 2" xfId="27261"/>
    <cellStyle name="表体文字 55 2 2" xfId="25659"/>
    <cellStyle name="表体文字 55 2 3" xfId="25662"/>
    <cellStyle name="表体文字 55 2 4" xfId="25666"/>
    <cellStyle name="表体文字 55 2 5" xfId="25670"/>
    <cellStyle name="表体文字 55 2 6" xfId="10474"/>
    <cellStyle name="表体文字 55 2 7" xfId="4382"/>
    <cellStyle name="表体文字 55 2 8" xfId="4392"/>
    <cellStyle name="表体文字 55 3" xfId="27263"/>
    <cellStyle name="表体文字 55 3 2" xfId="3102"/>
    <cellStyle name="表体文字 55 3 3" xfId="3116"/>
    <cellStyle name="表体文字 55 3 4" xfId="3132"/>
    <cellStyle name="表体文字 55 3 5" xfId="3138"/>
    <cellStyle name="表体文字 55 3 6" xfId="3144"/>
    <cellStyle name="表体文字 55 3 7" xfId="3155"/>
    <cellStyle name="表体文字 55 3 8" xfId="10508"/>
    <cellStyle name="表体文字 55 4" xfId="27265"/>
    <cellStyle name="表体文字 55 5" xfId="27267"/>
    <cellStyle name="表体文字 55 6" xfId="27269"/>
    <cellStyle name="表体文字 55 7" xfId="27273"/>
    <cellStyle name="表体文字 55 8" xfId="27275"/>
    <cellStyle name="表体文字 55 9" xfId="27277"/>
    <cellStyle name="表体文字 56" xfId="27279"/>
    <cellStyle name="表体文字 56 10" xfId="27283"/>
    <cellStyle name="表体文字 56 2" xfId="27285"/>
    <cellStyle name="表体文字 56 2 2" xfId="25692"/>
    <cellStyle name="表体文字 56 2 3" xfId="25696"/>
    <cellStyle name="表体文字 56 2 4" xfId="25701"/>
    <cellStyle name="表体文字 56 2 5" xfId="25706"/>
    <cellStyle name="表体文字 56 2 6" xfId="11072"/>
    <cellStyle name="表体文字 56 2 7" xfId="4433"/>
    <cellStyle name="表体文字 56 2 8" xfId="4440"/>
    <cellStyle name="表体文字 56 3" xfId="27287"/>
    <cellStyle name="表体文字 56 3 2" xfId="25717"/>
    <cellStyle name="表体文字 56 3 3" xfId="25721"/>
    <cellStyle name="表体文字 56 3 4" xfId="25725"/>
    <cellStyle name="表体文字 56 3 5" xfId="25729"/>
    <cellStyle name="表体文字 56 3 6" xfId="11097"/>
    <cellStyle name="表体文字 56 3 7" xfId="11104"/>
    <cellStyle name="表体文字 56 3 8" xfId="11114"/>
    <cellStyle name="表体文字 56 4" xfId="22582"/>
    <cellStyle name="表体文字 56 5" xfId="22585"/>
    <cellStyle name="表体文字 56 6" xfId="22588"/>
    <cellStyle name="表体文字 56 7" xfId="5308"/>
    <cellStyle name="表体文字 56 8" xfId="593"/>
    <cellStyle name="表体文字 56 9" xfId="603"/>
    <cellStyle name="表体文字 57" xfId="27289"/>
    <cellStyle name="表体文字 57 10" xfId="26913"/>
    <cellStyle name="表体文字 57 2" xfId="19529"/>
    <cellStyle name="表体文字 57 2 2" xfId="25743"/>
    <cellStyle name="表体文字 57 2 3" xfId="25747"/>
    <cellStyle name="表体文字 57 2 4" xfId="25752"/>
    <cellStyle name="表体文字 57 2 5" xfId="25757"/>
    <cellStyle name="表体文字 57 2 6" xfId="11284"/>
    <cellStyle name="表体文字 57 2 7" xfId="11288"/>
    <cellStyle name="表体文字 57 2 8" xfId="11292"/>
    <cellStyle name="表体文字 57 3" xfId="19532"/>
    <cellStyle name="表体文字 57 3 2" xfId="25768"/>
    <cellStyle name="表体文字 57 3 3" xfId="25772"/>
    <cellStyle name="表体文字 57 3 4" xfId="25776"/>
    <cellStyle name="表体文字 57 3 5" xfId="25780"/>
    <cellStyle name="表体文字 57 3 6" xfId="11302"/>
    <cellStyle name="表体文字 57 3 7" xfId="11305"/>
    <cellStyle name="表体文字 57 3 8" xfId="11308"/>
    <cellStyle name="表体文字 57 4" xfId="22592"/>
    <cellStyle name="表体文字 57 5" xfId="22595"/>
    <cellStyle name="表体文字 57 6" xfId="22598"/>
    <cellStyle name="表体文字 57 7" xfId="22601"/>
    <cellStyle name="表体文字 57 8" xfId="22604"/>
    <cellStyle name="表体文字 57 9" xfId="22607"/>
    <cellStyle name="表体文字 58" xfId="27293"/>
    <cellStyle name="表体文字 58 10" xfId="27297"/>
    <cellStyle name="表体文字 58 2" xfId="19576"/>
    <cellStyle name="表体文字 58 2 2" xfId="25806"/>
    <cellStyle name="表体文字 58 2 3" xfId="25811"/>
    <cellStyle name="表体文字 58 2 4" xfId="25817"/>
    <cellStyle name="表体文字 58 2 5" xfId="25823"/>
    <cellStyle name="表体文字 58 2 6" xfId="11321"/>
    <cellStyle name="表体文字 58 2 7" xfId="11326"/>
    <cellStyle name="表体文字 58 2 8" xfId="11330"/>
    <cellStyle name="表体文字 58 3" xfId="13569"/>
    <cellStyle name="表体文字 58 3 2" xfId="25838"/>
    <cellStyle name="表体文字 58 3 3" xfId="25843"/>
    <cellStyle name="表体文字 58 3 4" xfId="25848"/>
    <cellStyle name="表体文字 58 3 5" xfId="25853"/>
    <cellStyle name="表体文字 58 3 6" xfId="6933"/>
    <cellStyle name="表体文字 58 3 7" xfId="11340"/>
    <cellStyle name="表体文字 58 3 8" xfId="11343"/>
    <cellStyle name="表体文字 58 4" xfId="13575"/>
    <cellStyle name="表体文字 58 5" xfId="13581"/>
    <cellStyle name="表体文字 58 6" xfId="13587"/>
    <cellStyle name="表体文字 58 7" xfId="13591"/>
    <cellStyle name="表体文字 58 8" xfId="13595"/>
    <cellStyle name="表体文字 58 9" xfId="13600"/>
    <cellStyle name="表体文字 59" xfId="27299"/>
    <cellStyle name="表体文字 59 10" xfId="27303"/>
    <cellStyle name="表体文字 59 2" xfId="19594"/>
    <cellStyle name="表体文字 59 2 2" xfId="25881"/>
    <cellStyle name="表体文字 59 2 3" xfId="25885"/>
    <cellStyle name="表体文字 59 2 4" xfId="25890"/>
    <cellStyle name="表体文字 59 2 5" xfId="25895"/>
    <cellStyle name="表体文字 59 2 6" xfId="11359"/>
    <cellStyle name="表体文字 59 2 7" xfId="11363"/>
    <cellStyle name="表体文字 59 2 8" xfId="11367"/>
    <cellStyle name="表体文字 59 3" xfId="13607"/>
    <cellStyle name="表体文字 59 3 2" xfId="25906"/>
    <cellStyle name="表体文字 59 3 3" xfId="25910"/>
    <cellStyle name="表体文字 59 3 4" xfId="25914"/>
    <cellStyle name="表体文字 59 3 5" xfId="25918"/>
    <cellStyle name="表体文字 59 3 6" xfId="11384"/>
    <cellStyle name="表体文字 59 3 7" xfId="11387"/>
    <cellStyle name="表体文字 59 3 8" xfId="11390"/>
    <cellStyle name="表体文字 59 4" xfId="13614"/>
    <cellStyle name="表体文字 59 5" xfId="13620"/>
    <cellStyle name="表体文字 59 6" xfId="13626"/>
    <cellStyle name="表体文字 59 7" xfId="13630"/>
    <cellStyle name="表体文字 59 8" xfId="13634"/>
    <cellStyle name="表体文字 59 9" xfId="13641"/>
    <cellStyle name="表体文字 6" xfId="5248"/>
    <cellStyle name="表体文字 6 10" xfId="27305"/>
    <cellStyle name="表体文字 6 2" xfId="27306"/>
    <cellStyle name="表体文字 6 2 2" xfId="27307"/>
    <cellStyle name="表体文字 6 2 3" xfId="14405"/>
    <cellStyle name="表体文字 6 2 4" xfId="14410"/>
    <cellStyle name="表体文字 6 2 5" xfId="14415"/>
    <cellStyle name="表体文字 6 2 6" xfId="14420"/>
    <cellStyle name="表体文字 6 2 7" xfId="14423"/>
    <cellStyle name="表体文字 6 2 8" xfId="14426"/>
    <cellStyle name="表体文字 6 3" xfId="27310"/>
    <cellStyle name="表体文字 6 3 2" xfId="27311"/>
    <cellStyle name="表体文字 6 3 3" xfId="27312"/>
    <cellStyle name="表体文字 6 3 4" xfId="27313"/>
    <cellStyle name="表体文字 6 3 5" xfId="27314"/>
    <cellStyle name="表体文字 6 3 6" xfId="27315"/>
    <cellStyle name="表体文字 6 3 7" xfId="27316"/>
    <cellStyle name="表体文字 6 3 8" xfId="27317"/>
    <cellStyle name="表体文字 6 4" xfId="27318"/>
    <cellStyle name="表体文字 6 5" xfId="4499"/>
    <cellStyle name="表体文字 6 6" xfId="27319"/>
    <cellStyle name="表体文字 6 7" xfId="27320"/>
    <cellStyle name="表体文字 6 8" xfId="27321"/>
    <cellStyle name="表体文字 6 9" xfId="27322"/>
    <cellStyle name="表体文字 60" xfId="27254"/>
    <cellStyle name="表体文字 60 10" xfId="27258"/>
    <cellStyle name="表体文字 60 2" xfId="27262"/>
    <cellStyle name="表体文字 60 2 2" xfId="25660"/>
    <cellStyle name="表体文字 60 2 3" xfId="25663"/>
    <cellStyle name="表体文字 60 2 4" xfId="25667"/>
    <cellStyle name="表体文字 60 2 5" xfId="25671"/>
    <cellStyle name="表体文字 60 2 6" xfId="10475"/>
    <cellStyle name="表体文字 60 2 7" xfId="4383"/>
    <cellStyle name="表体文字 60 2 8" xfId="4393"/>
    <cellStyle name="表体文字 60 3" xfId="27264"/>
    <cellStyle name="表体文字 60 3 2" xfId="3101"/>
    <cellStyle name="表体文字 60 3 3" xfId="3115"/>
    <cellStyle name="表体文字 60 3 4" xfId="3131"/>
    <cellStyle name="表体文字 60 3 5" xfId="3137"/>
    <cellStyle name="表体文字 60 3 6" xfId="3143"/>
    <cellStyle name="表体文字 60 3 7" xfId="3154"/>
    <cellStyle name="表体文字 60 3 8" xfId="10509"/>
    <cellStyle name="表体文字 60 4" xfId="27266"/>
    <cellStyle name="表体文字 60 5" xfId="27268"/>
    <cellStyle name="表体文字 60 6" xfId="27270"/>
    <cellStyle name="表体文字 60 7" xfId="27274"/>
    <cellStyle name="表体文字 60 8" xfId="27276"/>
    <cellStyle name="表体文字 60 9" xfId="27278"/>
    <cellStyle name="表体文字 61" xfId="27280"/>
    <cellStyle name="表体文字 61 10" xfId="27284"/>
    <cellStyle name="表体文字 61 2" xfId="27286"/>
    <cellStyle name="表体文字 61 2 2" xfId="25693"/>
    <cellStyle name="表体文字 61 2 3" xfId="25697"/>
    <cellStyle name="表体文字 61 2 4" xfId="25702"/>
    <cellStyle name="表体文字 61 2 5" xfId="25707"/>
    <cellStyle name="表体文字 61 2 6" xfId="11073"/>
    <cellStyle name="表体文字 61 2 7" xfId="4434"/>
    <cellStyle name="表体文字 61 2 8" xfId="4441"/>
    <cellStyle name="表体文字 61 3" xfId="27288"/>
    <cellStyle name="表体文字 61 3 2" xfId="25718"/>
    <cellStyle name="表体文字 61 3 3" xfId="25722"/>
    <cellStyle name="表体文字 61 3 4" xfId="25726"/>
    <cellStyle name="表体文字 61 3 5" xfId="25730"/>
    <cellStyle name="表体文字 61 3 6" xfId="11098"/>
    <cellStyle name="表体文字 61 3 7" xfId="11105"/>
    <cellStyle name="表体文字 61 3 8" xfId="11115"/>
    <cellStyle name="表体文字 61 4" xfId="22583"/>
    <cellStyle name="表体文字 61 5" xfId="22586"/>
    <cellStyle name="表体文字 61 6" xfId="22589"/>
    <cellStyle name="表体文字 61 7" xfId="5309"/>
    <cellStyle name="表体文字 61 8" xfId="592"/>
    <cellStyle name="表体文字 61 9" xfId="602"/>
    <cellStyle name="表体文字 62" xfId="27290"/>
    <cellStyle name="表体文字 62 10" xfId="26914"/>
    <cellStyle name="表体文字 62 2" xfId="19530"/>
    <cellStyle name="表体文字 62 2 2" xfId="25744"/>
    <cellStyle name="表体文字 62 2 3" xfId="25748"/>
    <cellStyle name="表体文字 62 2 4" xfId="25753"/>
    <cellStyle name="表体文字 62 2 5" xfId="25758"/>
    <cellStyle name="表体文字 62 2 6" xfId="11285"/>
    <cellStyle name="表体文字 62 2 7" xfId="11289"/>
    <cellStyle name="表体文字 62 2 8" xfId="11293"/>
    <cellStyle name="表体文字 62 3" xfId="19533"/>
    <cellStyle name="表体文字 62 3 2" xfId="25769"/>
    <cellStyle name="表体文字 62 3 3" xfId="25773"/>
    <cellStyle name="表体文字 62 3 4" xfId="25777"/>
    <cellStyle name="表体文字 62 3 5" xfId="25781"/>
    <cellStyle name="表体文字 62 3 6" xfId="11303"/>
    <cellStyle name="表体文字 62 3 7" xfId="11306"/>
    <cellStyle name="表体文字 62 3 8" xfId="11309"/>
    <cellStyle name="表体文字 62 4" xfId="22593"/>
    <cellStyle name="表体文字 62 5" xfId="22596"/>
    <cellStyle name="表体文字 62 6" xfId="22599"/>
    <cellStyle name="表体文字 62 7" xfId="22602"/>
    <cellStyle name="表体文字 62 8" xfId="22605"/>
    <cellStyle name="表体文字 62 9" xfId="22608"/>
    <cellStyle name="表体文字 63" xfId="27294"/>
    <cellStyle name="表体文字 63 10" xfId="27298"/>
    <cellStyle name="表体文字 63 2" xfId="19577"/>
    <cellStyle name="表体文字 63 2 2" xfId="25807"/>
    <cellStyle name="表体文字 63 2 3" xfId="25812"/>
    <cellStyle name="表体文字 63 2 4" xfId="25818"/>
    <cellStyle name="表体文字 63 2 5" xfId="25824"/>
    <cellStyle name="表体文字 63 2 6" xfId="11322"/>
    <cellStyle name="表体文字 63 2 7" xfId="11327"/>
    <cellStyle name="表体文字 63 2 8" xfId="11331"/>
    <cellStyle name="表体文字 63 3" xfId="13570"/>
    <cellStyle name="表体文字 63 3 2" xfId="25839"/>
    <cellStyle name="表体文字 63 3 3" xfId="25844"/>
    <cellStyle name="表体文字 63 3 4" xfId="25849"/>
    <cellStyle name="表体文字 63 3 5" xfId="25854"/>
    <cellStyle name="表体文字 63 3 6" xfId="6934"/>
    <cellStyle name="表体文字 63 3 7" xfId="11341"/>
    <cellStyle name="表体文字 63 3 8" xfId="11344"/>
    <cellStyle name="表体文字 63 4" xfId="13576"/>
    <cellStyle name="表体文字 63 5" xfId="13582"/>
    <cellStyle name="表体文字 63 6" xfId="13588"/>
    <cellStyle name="表体文字 63 7" xfId="13592"/>
    <cellStyle name="表体文字 63 8" xfId="13596"/>
    <cellStyle name="表体文字 63 9" xfId="13601"/>
    <cellStyle name="表体文字 64" xfId="27300"/>
    <cellStyle name="表体文字 64 10" xfId="27304"/>
    <cellStyle name="表体文字 64 2" xfId="19595"/>
    <cellStyle name="表体文字 64 2 2" xfId="25882"/>
    <cellStyle name="表体文字 64 2 3" xfId="25886"/>
    <cellStyle name="表体文字 64 2 4" xfId="25891"/>
    <cellStyle name="表体文字 64 2 5" xfId="25896"/>
    <cellStyle name="表体文字 64 2 6" xfId="11360"/>
    <cellStyle name="表体文字 64 2 7" xfId="11364"/>
    <cellStyle name="表体文字 64 2 8" xfId="11368"/>
    <cellStyle name="表体文字 64 3" xfId="13608"/>
    <cellStyle name="表体文字 64 3 2" xfId="25907"/>
    <cellStyle name="表体文字 64 3 3" xfId="25911"/>
    <cellStyle name="表体文字 64 3 4" xfId="25915"/>
    <cellStyle name="表体文字 64 3 5" xfId="25919"/>
    <cellStyle name="表体文字 64 3 6" xfId="11385"/>
    <cellStyle name="表体文字 64 3 7" xfId="11388"/>
    <cellStyle name="表体文字 64 3 8" xfId="11391"/>
    <cellStyle name="表体文字 64 4" xfId="13615"/>
    <cellStyle name="表体文字 64 5" xfId="13621"/>
    <cellStyle name="表体文字 64 6" xfId="13627"/>
    <cellStyle name="表体文字 64 7" xfId="13631"/>
    <cellStyle name="表体文字 64 8" xfId="13635"/>
    <cellStyle name="表体文字 64 9" xfId="13642"/>
    <cellStyle name="表体文字 65" xfId="27323"/>
    <cellStyle name="表体文字 65 10" xfId="27327"/>
    <cellStyle name="表体文字 65 2" xfId="2305"/>
    <cellStyle name="表体文字 65 2 2" xfId="25940"/>
    <cellStyle name="表体文字 65 2 3" xfId="11684"/>
    <cellStyle name="表体文字 65 2 4" xfId="11691"/>
    <cellStyle name="表体文字 65 2 5" xfId="11703"/>
    <cellStyle name="表体文字 65 2 6" xfId="11411"/>
    <cellStyle name="表体文字 65 2 7" xfId="11415"/>
    <cellStyle name="表体文字 65 2 8" xfId="11419"/>
    <cellStyle name="表体文字 65 3" xfId="2309"/>
    <cellStyle name="表体文字 65 3 2" xfId="7073"/>
    <cellStyle name="表体文字 65 3 3" xfId="11740"/>
    <cellStyle name="表体文字 65 3 4" xfId="11746"/>
    <cellStyle name="表体文字 65 3 5" xfId="11756"/>
    <cellStyle name="表体文字 65 3 6" xfId="11436"/>
    <cellStyle name="表体文字 65 3 7" xfId="11439"/>
    <cellStyle name="表体文字 65 3 8" xfId="11442"/>
    <cellStyle name="表体文字 65 4" xfId="26"/>
    <cellStyle name="表体文字 65 5" xfId="2312"/>
    <cellStyle name="表体文字 65 6" xfId="2316"/>
    <cellStyle name="表体文字 65 7" xfId="27330"/>
    <cellStyle name="表体文字 65 8" xfId="27331"/>
    <cellStyle name="表体文字 65 9" xfId="27332"/>
    <cellStyle name="表体文字 66" xfId="27333"/>
    <cellStyle name="表体文字 66 10" xfId="27337"/>
    <cellStyle name="表体文字 66 2" xfId="2337"/>
    <cellStyle name="表体文字 66 2 2" xfId="25968"/>
    <cellStyle name="表体文字 66 2 3" xfId="25971"/>
    <cellStyle name="表体文字 66 2 4" xfId="25975"/>
    <cellStyle name="表体文字 66 2 5" xfId="25979"/>
    <cellStyle name="表体文字 66 2 6" xfId="11457"/>
    <cellStyle name="表体文字 66 2 7" xfId="11460"/>
    <cellStyle name="表体文字 66 2 8" xfId="11463"/>
    <cellStyle name="表体文字 66 3" xfId="2341"/>
    <cellStyle name="表体文字 66 3 2" xfId="1047"/>
    <cellStyle name="表体文字 66 3 3" xfId="25983"/>
    <cellStyle name="表体文字 66 3 4" xfId="25986"/>
    <cellStyle name="表体文字 66 3 5" xfId="25989"/>
    <cellStyle name="表体文字 66 3 6" xfId="11474"/>
    <cellStyle name="表体文字 66 3 7" xfId="11476"/>
    <cellStyle name="表体文字 66 3 8" xfId="11478"/>
    <cellStyle name="表体文字 66 4" xfId="2345"/>
    <cellStyle name="表体文字 66 5" xfId="2347"/>
    <cellStyle name="表体文字 66 6" xfId="2349"/>
    <cellStyle name="表体文字 66 7" xfId="27338"/>
    <cellStyle name="表体文字 66 8" xfId="27339"/>
    <cellStyle name="表体文字 66 9" xfId="27340"/>
    <cellStyle name="表体文字 67" xfId="27341"/>
    <cellStyle name="表体文字 67 2" xfId="2360"/>
    <cellStyle name="表体文字 67 3" xfId="2365"/>
    <cellStyle name="表体文字 67 4" xfId="2370"/>
    <cellStyle name="表体文字 67 5" xfId="2373"/>
    <cellStyle name="表体文字 67 6" xfId="2376"/>
    <cellStyle name="表体文字 67 7" xfId="27343"/>
    <cellStyle name="表体文字 67 8" xfId="27344"/>
    <cellStyle name="表体文字 68" xfId="19171"/>
    <cellStyle name="表体文字 68 2" xfId="2401"/>
    <cellStyle name="表体文字 68 3" xfId="2410"/>
    <cellStyle name="表体文字 68 4" xfId="2420"/>
    <cellStyle name="表体文字 68 5" xfId="2424"/>
    <cellStyle name="表体文字 68 6" xfId="2428"/>
    <cellStyle name="表体文字 68 7" xfId="19175"/>
    <cellStyle name="表体文字 68 8" xfId="19178"/>
    <cellStyle name="表体文字 69" xfId="19181"/>
    <cellStyle name="表体文字 7" xfId="5251"/>
    <cellStyle name="表体文字 7 10" xfId="27345"/>
    <cellStyle name="表体文字 7 2" xfId="813"/>
    <cellStyle name="表体文字 7 2 2" xfId="27346"/>
    <cellStyle name="表体文字 7 2 3" xfId="3726"/>
    <cellStyle name="表体文字 7 2 4" xfId="168"/>
    <cellStyle name="表体文字 7 2 5" xfId="14459"/>
    <cellStyle name="表体文字 7 2 6" xfId="14464"/>
    <cellStyle name="表体文字 7 2 7" xfId="14467"/>
    <cellStyle name="表体文字 7 2 8" xfId="14470"/>
    <cellStyle name="表体文字 7 3" xfId="923"/>
    <cellStyle name="表体文字 7 3 2" xfId="27350"/>
    <cellStyle name="表体文字 7 3 3" xfId="3740"/>
    <cellStyle name="表体文字 7 3 4" xfId="3742"/>
    <cellStyle name="表体文字 7 3 5" xfId="27352"/>
    <cellStyle name="表体文字 7 3 6" xfId="27353"/>
    <cellStyle name="表体文字 7 3 7" xfId="27354"/>
    <cellStyle name="表体文字 7 3 8" xfId="27355"/>
    <cellStyle name="表体文字 7 4" xfId="929"/>
    <cellStyle name="表体文字 7 5" xfId="936"/>
    <cellStyle name="表体文字 7 6" xfId="941"/>
    <cellStyle name="表体文字 7 7" xfId="950"/>
    <cellStyle name="表体文字 7 8" xfId="960"/>
    <cellStyle name="表体文字 7 9" xfId="967"/>
    <cellStyle name="表体文字 70" xfId="27324"/>
    <cellStyle name="表体文字 71" xfId="27334"/>
    <cellStyle name="表体文字 72" xfId="27342"/>
    <cellStyle name="表体文字 73" xfId="19172"/>
    <cellStyle name="表体文字 74" xfId="19182"/>
    <cellStyle name="表体文字 75" xfId="19190"/>
    <cellStyle name="表体文字 8" xfId="27356"/>
    <cellStyle name="表体文字 8 10" xfId="27357"/>
    <cellStyle name="表体文字 8 2" xfId="27358"/>
    <cellStyle name="表体文字 8 2 2" xfId="27359"/>
    <cellStyle name="表体文字 8 2 3" xfId="3860"/>
    <cellStyle name="表体文字 8 2 4" xfId="3873"/>
    <cellStyle name="表体文字 8 2 5" xfId="14520"/>
    <cellStyle name="表体文字 8 2 6" xfId="14525"/>
    <cellStyle name="表体文字 8 2 7" xfId="14528"/>
    <cellStyle name="表体文字 8 2 8" xfId="14531"/>
    <cellStyle name="表体文字 8 3" xfId="27362"/>
    <cellStyle name="表体文字 8 3 2" xfId="27363"/>
    <cellStyle name="表体文字 8 3 3" xfId="3896"/>
    <cellStyle name="表体文字 8 3 4" xfId="3898"/>
    <cellStyle name="表体文字 8 3 5" xfId="27364"/>
    <cellStyle name="表体文字 8 3 6" xfId="27365"/>
    <cellStyle name="表体文字 8 3 7" xfId="27366"/>
    <cellStyle name="表体文字 8 3 8" xfId="27367"/>
    <cellStyle name="表体文字 8 4" xfId="27368"/>
    <cellStyle name="表体文字 8 5" xfId="27369"/>
    <cellStyle name="表体文字 8 6" xfId="27370"/>
    <cellStyle name="表体文字 8 7" xfId="27371"/>
    <cellStyle name="表体文字 8 8" xfId="27372"/>
    <cellStyle name="表体文字 8 9" xfId="27373"/>
    <cellStyle name="表体文字 9" xfId="27374"/>
    <cellStyle name="表体文字 9 10" xfId="22610"/>
    <cellStyle name="表体文字 9 2" xfId="1149"/>
    <cellStyle name="表体文字 9 2 2" xfId="27375"/>
    <cellStyle name="表体文字 9 2 3" xfId="14548"/>
    <cellStyle name="表体文字 9 2 4" xfId="14552"/>
    <cellStyle name="表体文字 9 2 5" xfId="14556"/>
    <cellStyle name="表体文字 9 2 6" xfId="14560"/>
    <cellStyle name="表体文字 9 2 7" xfId="14563"/>
    <cellStyle name="表体文字 9 2 8" xfId="14566"/>
    <cellStyle name="表体文字 9 3" xfId="22226"/>
    <cellStyle name="表体文字 9 3 2" xfId="27377"/>
    <cellStyle name="表体文字 9 3 3" xfId="27378"/>
    <cellStyle name="表体文字 9 3 4" xfId="27379"/>
    <cellStyle name="表体文字 9 3 5" xfId="6691"/>
    <cellStyle name="表体文字 9 3 6" xfId="6693"/>
    <cellStyle name="表体文字 9 3 7" xfId="27380"/>
    <cellStyle name="表体文字 9 3 8" xfId="27381"/>
    <cellStyle name="表体文字 9 4" xfId="22229"/>
    <cellStyle name="表体文字 9 5" xfId="22232"/>
    <cellStyle name="表体文字 9 6" xfId="22235"/>
    <cellStyle name="表体文字 9 7" xfId="22238"/>
    <cellStyle name="表体文字 9 8" xfId="27382"/>
    <cellStyle name="表体文字 9 9" xfId="27383"/>
    <cellStyle name="表体文字(小)" xfId="4813"/>
    <cellStyle name="表体文字(小) 10" xfId="27384"/>
    <cellStyle name="表体文字(小) 10 10" xfId="22872"/>
    <cellStyle name="表体文字(小) 10 2" xfId="27385"/>
    <cellStyle name="表体文字(小) 10 2 2" xfId="27386"/>
    <cellStyle name="表体文字(小) 10 2 3" xfId="27387"/>
    <cellStyle name="表体文字(小) 10 2 4" xfId="27388"/>
    <cellStyle name="表体文字(小) 10 2 5" xfId="27389"/>
    <cellStyle name="表体文字(小) 10 2 6" xfId="27390"/>
    <cellStyle name="表体文字(小) 10 2 7" xfId="27391"/>
    <cellStyle name="表体文字(小) 10 2 8" xfId="27392"/>
    <cellStyle name="表体文字(小) 10 3" xfId="27393"/>
    <cellStyle name="表体文字(小) 10 3 2" xfId="27394"/>
    <cellStyle name="表体文字(小) 10 3 3" xfId="27395"/>
    <cellStyle name="表体文字(小) 10 3 4" xfId="27396"/>
    <cellStyle name="表体文字(小) 10 3 5" xfId="27397"/>
    <cellStyle name="表体文字(小) 10 3 6" xfId="27398"/>
    <cellStyle name="表体文字(小) 10 3 7" xfId="27399"/>
    <cellStyle name="表体文字(小) 10 3 8" xfId="27400"/>
    <cellStyle name="表体文字(小) 10 4" xfId="27401"/>
    <cellStyle name="表体文字(小) 10 5" xfId="27402"/>
    <cellStyle name="表体文字(小) 10 6" xfId="27403"/>
    <cellStyle name="表体文字(小) 10 7" xfId="27404"/>
    <cellStyle name="表体文字(小) 10 8" xfId="27405"/>
    <cellStyle name="表体文字(小) 10 9" xfId="27406"/>
    <cellStyle name="表体文字(小) 11" xfId="27407"/>
    <cellStyle name="表体文字(小) 11 10" xfId="24420"/>
    <cellStyle name="表体文字(小) 11 2" xfId="27408"/>
    <cellStyle name="表体文字(小) 11 2 2" xfId="27409"/>
    <cellStyle name="表体文字(小) 11 2 3" xfId="27410"/>
    <cellStyle name="表体文字(小) 11 2 4" xfId="27411"/>
    <cellStyle name="表体文字(小) 11 2 5" xfId="27412"/>
    <cellStyle name="表体文字(小) 11 2 6" xfId="27413"/>
    <cellStyle name="表体文字(小) 11 2 7" xfId="27414"/>
    <cellStyle name="表体文字(小) 11 2 8" xfId="27415"/>
    <cellStyle name="表体文字(小) 11 3" xfId="27416"/>
    <cellStyle name="表体文字(小) 11 3 2" xfId="27417"/>
    <cellStyle name="表体文字(小) 11 3 3" xfId="27418"/>
    <cellStyle name="表体文字(小) 11 3 4" xfId="27419"/>
    <cellStyle name="表体文字(小) 11 3 5" xfId="27420"/>
    <cellStyle name="表体文字(小) 11 3 6" xfId="27421"/>
    <cellStyle name="表体文字(小) 11 3 7" xfId="4801"/>
    <cellStyle name="表体文字(小) 11 3 8" xfId="27422"/>
    <cellStyle name="表体文字(小) 11 4" xfId="27423"/>
    <cellStyle name="表体文字(小) 11 5" xfId="27424"/>
    <cellStyle name="表体文字(小) 11 6" xfId="27425"/>
    <cellStyle name="表体文字(小) 11 7" xfId="27426"/>
    <cellStyle name="表体文字(小) 11 8" xfId="27427"/>
    <cellStyle name="表体文字(小) 11 9" xfId="27428"/>
    <cellStyle name="表体文字(小) 12" xfId="26519"/>
    <cellStyle name="表体文字(小) 12 10" xfId="24739"/>
    <cellStyle name="表体文字(小) 12 2" xfId="27429"/>
    <cellStyle name="表体文字(小) 12 2 2" xfId="27430"/>
    <cellStyle name="表体文字(小) 12 2 3" xfId="27431"/>
    <cellStyle name="表体文字(小) 12 2 4" xfId="27432"/>
    <cellStyle name="表体文字(小) 12 2 5" xfId="27433"/>
    <cellStyle name="表体文字(小) 12 2 6" xfId="8829"/>
    <cellStyle name="表体文字(小) 12 2 7" xfId="27434"/>
    <cellStyle name="表体文字(小) 12 2 8" xfId="27435"/>
    <cellStyle name="表体文字(小) 12 3" xfId="27436"/>
    <cellStyle name="表体文字(小) 12 3 2" xfId="27437"/>
    <cellStyle name="表体文字(小) 12 3 3" xfId="27438"/>
    <cellStyle name="表体文字(小) 12 3 4" xfId="27439"/>
    <cellStyle name="表体文字(小) 12 3 5" xfId="27440"/>
    <cellStyle name="表体文字(小) 12 3 6" xfId="27441"/>
    <cellStyle name="表体文字(小) 12 3 7" xfId="27442"/>
    <cellStyle name="表体文字(小) 12 3 8" xfId="27443"/>
    <cellStyle name="表体文字(小) 12 4" xfId="27444"/>
    <cellStyle name="表体文字(小) 12 5" xfId="27445"/>
    <cellStyle name="表体文字(小) 12 6" xfId="27446"/>
    <cellStyle name="表体文字(小) 12 7" xfId="27447"/>
    <cellStyle name="表体文字(小) 12 8" xfId="27448"/>
    <cellStyle name="表体文字(小) 12 9" xfId="27451"/>
    <cellStyle name="表体文字(小) 13" xfId="26521"/>
    <cellStyle name="表体文字(小) 13 10" xfId="22957"/>
    <cellStyle name="表体文字(小) 13 2" xfId="27456"/>
    <cellStyle name="表体文字(小) 13 2 2" xfId="27457"/>
    <cellStyle name="表体文字(小) 13 2 3" xfId="27458"/>
    <cellStyle name="表体文字(小) 13 2 4" xfId="27459"/>
    <cellStyle name="表体文字(小) 13 2 5" xfId="27460"/>
    <cellStyle name="表体文字(小) 13 2 6" xfId="27461"/>
    <cellStyle name="表体文字(小) 13 2 7" xfId="27462"/>
    <cellStyle name="表体文字(小) 13 2 8" xfId="27463"/>
    <cellStyle name="表体文字(小) 13 3" xfId="27466"/>
    <cellStyle name="表体文字(小) 13 3 2" xfId="27467"/>
    <cellStyle name="表体文字(小) 13 3 3" xfId="27468"/>
    <cellStyle name="表体文字(小) 13 3 4" xfId="27469"/>
    <cellStyle name="表体文字(小) 13 3 5" xfId="27470"/>
    <cellStyle name="表体文字(小) 13 3 6" xfId="27471"/>
    <cellStyle name="表体文字(小) 13 3 7" xfId="27472"/>
    <cellStyle name="表体文字(小) 13 3 8" xfId="27473"/>
    <cellStyle name="表体文字(小) 13 4" xfId="27476"/>
    <cellStyle name="表体文字(小) 13 5" xfId="27479"/>
    <cellStyle name="表体文字(小) 13 6" xfId="27482"/>
    <cellStyle name="表体文字(小) 13 7" xfId="27485"/>
    <cellStyle name="表体文字(小) 13 8" xfId="27488"/>
    <cellStyle name="表体文字(小) 13 9" xfId="27493"/>
    <cellStyle name="表体文字(小) 14" xfId="26523"/>
    <cellStyle name="表体文字(小) 14 10" xfId="15048"/>
    <cellStyle name="表体文字(小) 14 2" xfId="27496"/>
    <cellStyle name="表体文字(小) 14 2 2" xfId="27497"/>
    <cellStyle name="表体文字(小) 14 2 3" xfId="27498"/>
    <cellStyle name="表体文字(小) 14 2 4" xfId="27499"/>
    <cellStyle name="表体文字(小) 14 2 5" xfId="27500"/>
    <cellStyle name="表体文字(小) 14 2 6" xfId="27501"/>
    <cellStyle name="表体文字(小) 14 2 7" xfId="27502"/>
    <cellStyle name="表体文字(小) 14 2 8" xfId="27503"/>
    <cellStyle name="表体文字(小) 14 3" xfId="27504"/>
    <cellStyle name="表体文字(小) 14 3 2" xfId="27505"/>
    <cellStyle name="表体文字(小) 14 3 3" xfId="27506"/>
    <cellStyle name="表体文字(小) 14 3 4" xfId="27507"/>
    <cellStyle name="表体文字(小) 14 3 5" xfId="27508"/>
    <cellStyle name="表体文字(小) 14 3 6" xfId="27509"/>
    <cellStyle name="表体文字(小) 14 3 7" xfId="27510"/>
    <cellStyle name="表体文字(小) 14 3 8" xfId="27511"/>
    <cellStyle name="表体文字(小) 14 4" xfId="27512"/>
    <cellStyle name="表体文字(小) 14 5" xfId="27513"/>
    <cellStyle name="表体文字(小) 14 6" xfId="27514"/>
    <cellStyle name="表体文字(小) 14 7" xfId="27515"/>
    <cellStyle name="表体文字(小) 14 8" xfId="27516"/>
    <cellStyle name="表体文字(小) 14 9" xfId="27517"/>
    <cellStyle name="表体文字(小) 15" xfId="26525"/>
    <cellStyle name="表体文字(小) 15 10" xfId="27518"/>
    <cellStyle name="表体文字(小) 15 2" xfId="27520"/>
    <cellStyle name="表体文字(小) 15 2 2" xfId="27522"/>
    <cellStyle name="表体文字(小) 15 2 3" xfId="27524"/>
    <cellStyle name="表体文字(小) 15 2 4" xfId="27526"/>
    <cellStyle name="表体文字(小) 15 2 5" xfId="27528"/>
    <cellStyle name="表体文字(小) 15 2 6" xfId="27530"/>
    <cellStyle name="表体文字(小) 15 2 7" xfId="27532"/>
    <cellStyle name="表体文字(小) 15 2 8" xfId="27534"/>
    <cellStyle name="表体文字(小) 15 3" xfId="27536"/>
    <cellStyle name="表体文字(小) 15 3 2" xfId="27538"/>
    <cellStyle name="表体文字(小) 15 3 3" xfId="27540"/>
    <cellStyle name="表体文字(小) 15 3 4" xfId="27542"/>
    <cellStyle name="表体文字(小) 15 3 5" xfId="27544"/>
    <cellStyle name="表体文字(小) 15 3 6" xfId="27546"/>
    <cellStyle name="表体文字(小) 15 3 7" xfId="27548"/>
    <cellStyle name="表体文字(小) 15 3 8" xfId="27550"/>
    <cellStyle name="表体文字(小) 15 4" xfId="27552"/>
    <cellStyle name="表体文字(小) 15 5" xfId="27554"/>
    <cellStyle name="表体文字(小) 15 6" xfId="27556"/>
    <cellStyle name="表体文字(小) 15 7" xfId="27558"/>
    <cellStyle name="表体文字(小) 15 8" xfId="1465"/>
    <cellStyle name="表体文字(小) 15 9" xfId="1573"/>
    <cellStyle name="表体文字(小) 16" xfId="26528"/>
    <cellStyle name="表体文字(小) 16 10" xfId="27560"/>
    <cellStyle name="表体文字(小) 16 2" xfId="27564"/>
    <cellStyle name="表体文字(小) 16 2 2" xfId="27566"/>
    <cellStyle name="表体文字(小) 16 2 3" xfId="27568"/>
    <cellStyle name="表体文字(小) 16 2 4" xfId="27570"/>
    <cellStyle name="表体文字(小) 16 2 5" xfId="27572"/>
    <cellStyle name="表体文字(小) 16 2 6" xfId="27574"/>
    <cellStyle name="表体文字(小) 16 2 7" xfId="27576"/>
    <cellStyle name="表体文字(小) 16 2 8" xfId="27578"/>
    <cellStyle name="表体文字(小) 16 3" xfId="27581"/>
    <cellStyle name="表体文字(小) 16 3 2" xfId="27583"/>
    <cellStyle name="表体文字(小) 16 3 3" xfId="27587"/>
    <cellStyle name="表体文字(小) 16 3 4" xfId="27591"/>
    <cellStyle name="表体文字(小) 16 3 5" xfId="27595"/>
    <cellStyle name="表体文字(小) 16 3 6" xfId="27599"/>
    <cellStyle name="表体文字(小) 16 3 7" xfId="27603"/>
    <cellStyle name="表体文字(小) 16 3 8" xfId="27607"/>
    <cellStyle name="表体文字(小) 16 4" xfId="27611"/>
    <cellStyle name="表体文字(小) 16 5" xfId="27613"/>
    <cellStyle name="表体文字(小) 16 6" xfId="27615"/>
    <cellStyle name="表体文字(小) 16 7" xfId="27617"/>
    <cellStyle name="表体文字(小) 16 8" xfId="27619"/>
    <cellStyle name="表体文字(小) 16 9" xfId="27621"/>
    <cellStyle name="表体文字(小) 17" xfId="26531"/>
    <cellStyle name="表体文字(小) 17 10" xfId="27623"/>
    <cellStyle name="表体文字(小) 17 2" xfId="27625"/>
    <cellStyle name="表体文字(小) 17 2 2" xfId="27627"/>
    <cellStyle name="表体文字(小) 17 2 3" xfId="27631"/>
    <cellStyle name="表体文字(小) 17 2 4" xfId="27635"/>
    <cellStyle name="表体文字(小) 17 2 5" xfId="27639"/>
    <cellStyle name="表体文字(小) 17 2 6" xfId="27643"/>
    <cellStyle name="表体文字(小) 17 2 7" xfId="27647"/>
    <cellStyle name="表体文字(小) 17 2 8" xfId="27651"/>
    <cellStyle name="表体文字(小) 17 3" xfId="27654"/>
    <cellStyle name="表体文字(小) 17 3 2" xfId="27656"/>
    <cellStyle name="表体文字(小) 17 3 3" xfId="27660"/>
    <cellStyle name="表体文字(小) 17 3 4" xfId="27664"/>
    <cellStyle name="表体文字(小) 17 3 5" xfId="27668"/>
    <cellStyle name="表体文字(小) 17 3 6" xfId="27672"/>
    <cellStyle name="表体文字(小) 17 3 7" xfId="27676"/>
    <cellStyle name="表体文字(小) 17 3 8" xfId="27680"/>
    <cellStyle name="表体文字(小) 17 4" xfId="27682"/>
    <cellStyle name="表体文字(小) 17 5" xfId="27684"/>
    <cellStyle name="表体文字(小) 17 6" xfId="27686"/>
    <cellStyle name="表体文字(小) 17 7" xfId="27688"/>
    <cellStyle name="表体文字(小) 17 8" xfId="27690"/>
    <cellStyle name="表体文字(小) 17 9" xfId="27692"/>
    <cellStyle name="表体文字(小) 18" xfId="26534"/>
    <cellStyle name="表体文字(小) 18 10" xfId="23001"/>
    <cellStyle name="表体文字(小) 18 2" xfId="27695"/>
    <cellStyle name="表体文字(小) 18 2 2" xfId="27697"/>
    <cellStyle name="表体文字(小) 18 2 3" xfId="27699"/>
    <cellStyle name="表体文字(小) 18 2 4" xfId="27701"/>
    <cellStyle name="表体文字(小) 18 2 5" xfId="27703"/>
    <cellStyle name="表体文字(小) 18 2 6" xfId="27705"/>
    <cellStyle name="表体文字(小) 18 2 7" xfId="27707"/>
    <cellStyle name="表体文字(小) 18 2 8" xfId="27709"/>
    <cellStyle name="表体文字(小) 18 3" xfId="27711"/>
    <cellStyle name="表体文字(小) 18 3 2" xfId="27713"/>
    <cellStyle name="表体文字(小) 18 3 3" xfId="27715"/>
    <cellStyle name="表体文字(小) 18 3 4" xfId="27717"/>
    <cellStyle name="表体文字(小) 18 3 5" xfId="27719"/>
    <cellStyle name="表体文字(小) 18 3 6" xfId="27721"/>
    <cellStyle name="表体文字(小) 18 3 7" xfId="27724"/>
    <cellStyle name="表体文字(小) 18 3 8" xfId="27726"/>
    <cellStyle name="表体文字(小) 18 4" xfId="27728"/>
    <cellStyle name="表体文字(小) 18 5" xfId="27730"/>
    <cellStyle name="表体文字(小) 18 6" xfId="27732"/>
    <cellStyle name="表体文字(小) 18 7" xfId="27734"/>
    <cellStyle name="表体文字(小) 18 8" xfId="27736"/>
    <cellStyle name="表体文字(小) 18 9" xfId="27738"/>
    <cellStyle name="表体文字(小) 19" xfId="27740"/>
    <cellStyle name="表体文字(小) 19 10" xfId="15132"/>
    <cellStyle name="表体文字(小) 19 2" xfId="27742"/>
    <cellStyle name="表体文字(小) 19 2 2" xfId="27744"/>
    <cellStyle name="表体文字(小) 19 2 3" xfId="11694"/>
    <cellStyle name="表体文字(小) 19 2 4" xfId="11698"/>
    <cellStyle name="表体文字(小) 19 2 5" xfId="20159"/>
    <cellStyle name="表体文字(小) 19 2 6" xfId="20185"/>
    <cellStyle name="表体文字(小) 19 2 7" xfId="20204"/>
    <cellStyle name="表体文字(小) 19 2 8" xfId="20209"/>
    <cellStyle name="表体文字(小) 19 3" xfId="27746"/>
    <cellStyle name="表体文字(小) 19 3 2" xfId="27750"/>
    <cellStyle name="表体文字(小) 19 3 3" xfId="11708"/>
    <cellStyle name="表体文字(小) 19 3 4" xfId="11714"/>
    <cellStyle name="表体文字(小) 19 3 5" xfId="20228"/>
    <cellStyle name="表体文字(小) 19 3 6" xfId="20244"/>
    <cellStyle name="表体文字(小) 19 3 7" xfId="20261"/>
    <cellStyle name="表体文字(小) 19 3 8" xfId="20268"/>
    <cellStyle name="表体文字(小) 19 4" xfId="27752"/>
    <cellStyle name="表体文字(小) 19 5" xfId="27754"/>
    <cellStyle name="表体文字(小) 19 6" xfId="27756"/>
    <cellStyle name="表体文字(小) 19 7" xfId="27758"/>
    <cellStyle name="表体文字(小) 19 8" xfId="27760"/>
    <cellStyle name="表体文字(小) 19 9" xfId="27762"/>
    <cellStyle name="表体文字(小) 2" xfId="23184"/>
    <cellStyle name="表体文字(小) 2 10" xfId="17204"/>
    <cellStyle name="表体文字(小) 2 10 10" xfId="27764"/>
    <cellStyle name="表体文字(小) 2 10 2" xfId="9206"/>
    <cellStyle name="表体文字(小) 2 10 2 2" xfId="27765"/>
    <cellStyle name="表体文字(小) 2 10 2 3" xfId="27766"/>
    <cellStyle name="表体文字(小) 2 10 2 4" xfId="27767"/>
    <cellStyle name="表体文字(小) 2 10 2 5" xfId="27768"/>
    <cellStyle name="表体文字(小) 2 10 2 6" xfId="27769"/>
    <cellStyle name="表体文字(小) 2 10 2 7" xfId="27770"/>
    <cellStyle name="表体文字(小) 2 10 2 8" xfId="27771"/>
    <cellStyle name="表体文字(小) 2 10 3" xfId="9210"/>
    <cellStyle name="表体文字(小) 2 10 3 2" xfId="27772"/>
    <cellStyle name="表体文字(小) 2 10 3 3" xfId="27773"/>
    <cellStyle name="表体文字(小) 2 10 3 4" xfId="27774"/>
    <cellStyle name="表体文字(小) 2 10 3 5" xfId="27775"/>
    <cellStyle name="表体文字(小) 2 10 3 6" xfId="27776"/>
    <cellStyle name="表体文字(小) 2 10 3 7" xfId="27777"/>
    <cellStyle name="表体文字(小) 2 10 3 8" xfId="27778"/>
    <cellStyle name="表体文字(小) 2 10 4" xfId="9213"/>
    <cellStyle name="表体文字(小) 2 10 5" xfId="9215"/>
    <cellStyle name="表体文字(小) 2 10 6" xfId="27779"/>
    <cellStyle name="表体文字(小) 2 10 7" xfId="27780"/>
    <cellStyle name="表体文字(小) 2 10 8" xfId="27781"/>
    <cellStyle name="表体文字(小) 2 10 9" xfId="27782"/>
    <cellStyle name="表体文字(小) 2 11" xfId="17206"/>
    <cellStyle name="表体文字(小) 2 11 10" xfId="27783"/>
    <cellStyle name="表体文字(小) 2 11 2" xfId="5569"/>
    <cellStyle name="表体文字(小) 2 11 2 2" xfId="27784"/>
    <cellStyle name="表体文字(小) 2 11 2 3" xfId="27785"/>
    <cellStyle name="表体文字(小) 2 11 2 4" xfId="27786"/>
    <cellStyle name="表体文字(小) 2 11 2 5" xfId="27787"/>
    <cellStyle name="表体文字(小) 2 11 2 6" xfId="27788"/>
    <cellStyle name="表体文字(小) 2 11 2 7" xfId="27789"/>
    <cellStyle name="表体文字(小) 2 11 2 8" xfId="27790"/>
    <cellStyle name="表体文字(小) 2 11 3" xfId="16237"/>
    <cellStyle name="表体文字(小) 2 11 3 2" xfId="27791"/>
    <cellStyle name="表体文字(小) 2 11 3 3" xfId="20337"/>
    <cellStyle name="表体文字(小) 2 11 3 4" xfId="27792"/>
    <cellStyle name="表体文字(小) 2 11 3 5" xfId="27793"/>
    <cellStyle name="表体文字(小) 2 11 3 6" xfId="27794"/>
    <cellStyle name="表体文字(小) 2 11 3 7" xfId="27795"/>
    <cellStyle name="表体文字(小) 2 11 3 8" xfId="27796"/>
    <cellStyle name="表体文字(小) 2 11 4" xfId="27797"/>
    <cellStyle name="表体文字(小) 2 11 5" xfId="27798"/>
    <cellStyle name="表体文字(小) 2 11 6" xfId="27799"/>
    <cellStyle name="表体文字(小) 2 11 7" xfId="27800"/>
    <cellStyle name="表体文字(小) 2 11 8" xfId="27801"/>
    <cellStyle name="表体文字(小) 2 11 9" xfId="27802"/>
    <cellStyle name="表体文字(小) 2 12" xfId="17208"/>
    <cellStyle name="表体文字(小) 2 12 10" xfId="27803"/>
    <cellStyle name="表体文字(小) 2 12 2" xfId="16286"/>
    <cellStyle name="表体文字(小) 2 12 2 2" xfId="20661"/>
    <cellStyle name="表体文字(小) 2 12 2 3" xfId="27804"/>
    <cellStyle name="表体文字(小) 2 12 2 4" xfId="27805"/>
    <cellStyle name="表体文字(小) 2 12 2 5" xfId="27806"/>
    <cellStyle name="表体文字(小) 2 12 2 6" xfId="27807"/>
    <cellStyle name="表体文字(小) 2 12 2 7" xfId="27808"/>
    <cellStyle name="表体文字(小) 2 12 2 8" xfId="27809"/>
    <cellStyle name="表体文字(小) 2 12 3" xfId="16289"/>
    <cellStyle name="表体文字(小) 2 12 3 2" xfId="20709"/>
    <cellStyle name="表体文字(小) 2 12 3 3" xfId="21335"/>
    <cellStyle name="表体文字(小) 2 12 3 4" xfId="27810"/>
    <cellStyle name="表体文字(小) 2 12 3 5" xfId="27811"/>
    <cellStyle name="表体文字(小) 2 12 3 6" xfId="27812"/>
    <cellStyle name="表体文字(小) 2 12 3 7" xfId="27813"/>
    <cellStyle name="表体文字(小) 2 12 3 8" xfId="27814"/>
    <cellStyle name="表体文字(小) 2 12 4" xfId="27815"/>
    <cellStyle name="表体文字(小) 2 12 5" xfId="27816"/>
    <cellStyle name="表体文字(小) 2 12 6" xfId="27817"/>
    <cellStyle name="表体文字(小) 2 12 7" xfId="27818"/>
    <cellStyle name="表体文字(小) 2 12 8" xfId="27819"/>
    <cellStyle name="表体文字(小) 2 12 9" xfId="27820"/>
    <cellStyle name="表体文字(小) 2 13" xfId="17210"/>
    <cellStyle name="表体文字(小) 2 13 10" xfId="23702"/>
    <cellStyle name="表体文字(小) 2 13 2" xfId="16331"/>
    <cellStyle name="表体文字(小) 2 13 2 2" xfId="27821"/>
    <cellStyle name="表体文字(小) 2 13 2 3" xfId="23"/>
    <cellStyle name="表体文字(小) 2 13 2 4" xfId="27822"/>
    <cellStyle name="表体文字(小) 2 13 2 5" xfId="27823"/>
    <cellStyle name="表体文字(小) 2 13 2 6" xfId="17728"/>
    <cellStyle name="表体文字(小) 2 13 2 7" xfId="17745"/>
    <cellStyle name="表体文字(小) 2 13 2 8" xfId="17765"/>
    <cellStyle name="表体文字(小) 2 13 3" xfId="16333"/>
    <cellStyle name="表体文字(小) 2 13 3 2" xfId="27824"/>
    <cellStyle name="表体文字(小) 2 13 3 3" xfId="27825"/>
    <cellStyle name="表体文字(小) 2 13 3 4" xfId="27826"/>
    <cellStyle name="表体文字(小) 2 13 3 5" xfId="27827"/>
    <cellStyle name="表体文字(小) 2 13 3 6" xfId="17780"/>
    <cellStyle name="表体文字(小) 2 13 3 7" xfId="17787"/>
    <cellStyle name="表体文字(小) 2 13 3 8" xfId="17798"/>
    <cellStyle name="表体文字(小) 2 13 4" xfId="27828"/>
    <cellStyle name="表体文字(小) 2 13 5" xfId="8270"/>
    <cellStyle name="表体文字(小) 2 13 6" xfId="8272"/>
    <cellStyle name="表体文字(小) 2 13 7" xfId="27829"/>
    <cellStyle name="表体文字(小) 2 13 8" xfId="27830"/>
    <cellStyle name="表体文字(小) 2 13 9" xfId="27831"/>
    <cellStyle name="表体文字(小) 2 14" xfId="27834"/>
    <cellStyle name="表体文字(小) 2 14 10" xfId="27835"/>
    <cellStyle name="表体文字(小) 2 14 2" xfId="16372"/>
    <cellStyle name="表体文字(小) 2 14 2 2" xfId="27836"/>
    <cellStyle name="表体文字(小) 2 14 2 3" xfId="27837"/>
    <cellStyle name="表体文字(小) 2 14 2 4" xfId="27838"/>
    <cellStyle name="表体文字(小) 2 14 2 5" xfId="27839"/>
    <cellStyle name="表体文字(小) 2 14 2 6" xfId="27840"/>
    <cellStyle name="表体文字(小) 2 14 2 7" xfId="27841"/>
    <cellStyle name="表体文字(小) 2 14 2 8" xfId="27842"/>
    <cellStyle name="表体文字(小) 2 14 3" xfId="16374"/>
    <cellStyle name="表体文字(小) 2 14 3 2" xfId="27843"/>
    <cellStyle name="表体文字(小) 2 14 3 3" xfId="27844"/>
    <cellStyle name="表体文字(小) 2 14 3 4" xfId="27845"/>
    <cellStyle name="表体文字(小) 2 14 3 5" xfId="27846"/>
    <cellStyle name="表体文字(小) 2 14 3 6" xfId="27847"/>
    <cellStyle name="表体文字(小) 2 14 3 7" xfId="27848"/>
    <cellStyle name="表体文字(小) 2 14 3 8" xfId="27849"/>
    <cellStyle name="表体文字(小) 2 14 4" xfId="27850"/>
    <cellStyle name="表体文字(小) 2 14 5" xfId="20575"/>
    <cellStyle name="表体文字(小) 2 14 6" xfId="27851"/>
    <cellStyle name="表体文字(小) 2 14 7" xfId="27852"/>
    <cellStyle name="表体文字(小) 2 14 8" xfId="27853"/>
    <cellStyle name="表体文字(小) 2 14 9" xfId="27854"/>
    <cellStyle name="表体文字(小) 2 15" xfId="27857"/>
    <cellStyle name="表体文字(小) 2 15 10" xfId="27859"/>
    <cellStyle name="表体文字(小) 2 15 2" xfId="16384"/>
    <cellStyle name="表体文字(小) 2 15 2 2" xfId="27861"/>
    <cellStyle name="表体文字(小) 2 15 2 3" xfId="27863"/>
    <cellStyle name="表体文字(小) 2 15 2 4" xfId="27865"/>
    <cellStyle name="表体文字(小) 2 15 2 5" xfId="27867"/>
    <cellStyle name="表体文字(小) 2 15 2 6" xfId="27869"/>
    <cellStyle name="表体文字(小) 2 15 2 7" xfId="27871"/>
    <cellStyle name="表体文字(小) 2 15 2 8" xfId="27873"/>
    <cellStyle name="表体文字(小) 2 15 3" xfId="27875"/>
    <cellStyle name="表体文字(小) 2 15 3 2" xfId="27877"/>
    <cellStyle name="表体文字(小) 2 15 3 3" xfId="27879"/>
    <cellStyle name="表体文字(小) 2 15 3 4" xfId="27881"/>
    <cellStyle name="表体文字(小) 2 15 3 5" xfId="27883"/>
    <cellStyle name="表体文字(小) 2 15 3 6" xfId="27885"/>
    <cellStyle name="表体文字(小) 2 15 3 7" xfId="27887"/>
    <cellStyle name="表体文字(小) 2 15 3 8" xfId="27889"/>
    <cellStyle name="表体文字(小) 2 15 4" xfId="8599"/>
    <cellStyle name="表体文字(小) 2 15 5" xfId="8604"/>
    <cellStyle name="表体文字(小) 2 15 6" xfId="8609"/>
    <cellStyle name="表体文字(小) 2 15 7" xfId="8614"/>
    <cellStyle name="表体文字(小) 2 15 8" xfId="8619"/>
    <cellStyle name="表体文字(小) 2 15 9" xfId="8624"/>
    <cellStyle name="表体文字(小) 2 16" xfId="27891"/>
    <cellStyle name="表体文字(小) 2 16 10" xfId="27894"/>
    <cellStyle name="表体文字(小) 2 16 2" xfId="5599"/>
    <cellStyle name="表体文字(小) 2 16 2 2" xfId="27896"/>
    <cellStyle name="表体文字(小) 2 16 2 3" xfId="27898"/>
    <cellStyle name="表体文字(小) 2 16 2 4" xfId="27900"/>
    <cellStyle name="表体文字(小) 2 16 2 5" xfId="27902"/>
    <cellStyle name="表体文字(小) 2 16 2 6" xfId="27904"/>
    <cellStyle name="表体文字(小) 2 16 2 7" xfId="27906"/>
    <cellStyle name="表体文字(小) 2 16 2 8" xfId="27908"/>
    <cellStyle name="表体文字(小) 2 16 3" xfId="22644"/>
    <cellStyle name="表体文字(小) 2 16 3 2" xfId="27910"/>
    <cellStyle name="表体文字(小) 2 16 3 3" xfId="27912"/>
    <cellStyle name="表体文字(小) 2 16 3 4" xfId="27914"/>
    <cellStyle name="表体文字(小) 2 16 3 5" xfId="27916"/>
    <cellStyle name="表体文字(小) 2 16 3 6" xfId="27918"/>
    <cellStyle name="表体文字(小) 2 16 3 7" xfId="27920"/>
    <cellStyle name="表体文字(小) 2 16 3 8" xfId="27922"/>
    <cellStyle name="表体文字(小) 2 16 4" xfId="8643"/>
    <cellStyle name="表体文字(小) 2 16 5" xfId="8648"/>
    <cellStyle name="表体文字(小) 2 16 6" xfId="8654"/>
    <cellStyle name="表体文字(小) 2 16 7" xfId="8659"/>
    <cellStyle name="表体文字(小) 2 16 8" xfId="8664"/>
    <cellStyle name="表体文字(小) 2 16 9" xfId="8669"/>
    <cellStyle name="表体文字(小) 2 17" xfId="27924"/>
    <cellStyle name="表体文字(小) 2 17 10" xfId="27927"/>
    <cellStyle name="表体文字(小) 2 17 2" xfId="22652"/>
    <cellStyle name="表体文字(小) 2 17 2 2" xfId="27929"/>
    <cellStyle name="表体文字(小) 2 17 2 3" xfId="27933"/>
    <cellStyle name="表体文字(小) 2 17 2 4" xfId="27937"/>
    <cellStyle name="表体文字(小) 2 17 2 5" xfId="27941"/>
    <cellStyle name="表体文字(小) 2 17 2 6" xfId="27945"/>
    <cellStyle name="表体文字(小) 2 17 2 7" xfId="27949"/>
    <cellStyle name="表体文字(小) 2 17 2 8" xfId="27953"/>
    <cellStyle name="表体文字(小) 2 17 3" xfId="22655"/>
    <cellStyle name="表体文字(小) 2 17 3 2" xfId="27957"/>
    <cellStyle name="表体文字(小) 2 17 3 3" xfId="27959"/>
    <cellStyle name="表体文字(小) 2 17 3 4" xfId="27961"/>
    <cellStyle name="表体文字(小) 2 17 3 5" xfId="27963"/>
    <cellStyle name="表体文字(小) 2 17 3 6" xfId="27965"/>
    <cellStyle name="表体文字(小) 2 17 3 7" xfId="27967"/>
    <cellStyle name="表体文字(小) 2 17 3 8" xfId="27969"/>
    <cellStyle name="表体文字(小) 2 17 4" xfId="8682"/>
    <cellStyle name="表体文字(小) 2 17 5" xfId="8686"/>
    <cellStyle name="表体文字(小) 2 17 6" xfId="22658"/>
    <cellStyle name="表体文字(小) 2 17 7" xfId="27971"/>
    <cellStyle name="表体文字(小) 2 17 8" xfId="27973"/>
    <cellStyle name="表体文字(小) 2 17 9" xfId="27975"/>
    <cellStyle name="表体文字(小) 2 18" xfId="27977"/>
    <cellStyle name="表体文字(小) 2 18 10" xfId="23885"/>
    <cellStyle name="表体文字(小) 2 18 2" xfId="13760"/>
    <cellStyle name="表体文字(小) 2 18 2 2" xfId="2889"/>
    <cellStyle name="表体文字(小) 2 18 2 3" xfId="27982"/>
    <cellStyle name="表体文字(小) 2 18 2 4" xfId="27984"/>
    <cellStyle name="表体文字(小) 2 18 2 5" xfId="27986"/>
    <cellStyle name="表体文字(小) 2 18 2 6" xfId="27988"/>
    <cellStyle name="表体文字(小) 2 18 2 7" xfId="27990"/>
    <cellStyle name="表体文字(小) 2 18 2 8" xfId="27992"/>
    <cellStyle name="表体文字(小) 2 18 3" xfId="13764"/>
    <cellStyle name="表体文字(小) 2 18 3 2" xfId="2901"/>
    <cellStyle name="表体文字(小) 2 18 3 3" xfId="27994"/>
    <cellStyle name="表体文字(小) 2 18 3 4" xfId="27996"/>
    <cellStyle name="表体文字(小) 2 18 3 5" xfId="27998"/>
    <cellStyle name="表体文字(小) 2 18 3 6" xfId="8978"/>
    <cellStyle name="表体文字(小) 2 18 3 7" xfId="28000"/>
    <cellStyle name="表体文字(小) 2 18 3 8" xfId="28002"/>
    <cellStyle name="表体文字(小) 2 18 4" xfId="13768"/>
    <cellStyle name="表体文字(小) 2 18 5" xfId="13773"/>
    <cellStyle name="表体文字(小) 2 18 6" xfId="25432"/>
    <cellStyle name="表体文字(小) 2 18 7" xfId="25435"/>
    <cellStyle name="表体文字(小) 2 18 8" xfId="25438"/>
    <cellStyle name="表体文字(小) 2 18 9" xfId="25441"/>
    <cellStyle name="表体文字(小) 2 19" xfId="28004"/>
    <cellStyle name="表体文字(小) 2 19 10" xfId="28007"/>
    <cellStyle name="表体文字(小) 2 19 2" xfId="13791"/>
    <cellStyle name="表体文字(小) 2 19 2 2" xfId="1060"/>
    <cellStyle name="表体文字(小) 2 19 2 3" xfId="28009"/>
    <cellStyle name="表体文字(小) 2 19 2 4" xfId="28011"/>
    <cellStyle name="表体文字(小) 2 19 2 5" xfId="9452"/>
    <cellStyle name="表体文字(小) 2 19 2 6" xfId="9457"/>
    <cellStyle name="表体文字(小) 2 19 2 7" xfId="9462"/>
    <cellStyle name="表体文字(小) 2 19 2 8" xfId="9468"/>
    <cellStyle name="表体文字(小) 2 19 3" xfId="13795"/>
    <cellStyle name="表体文字(小) 2 19 3 2" xfId="2984"/>
    <cellStyle name="表体文字(小) 2 19 3 3" xfId="28013"/>
    <cellStyle name="表体文字(小) 2 19 3 4" xfId="28015"/>
    <cellStyle name="表体文字(小) 2 19 3 5" xfId="9495"/>
    <cellStyle name="表体文字(小) 2 19 3 6" xfId="9498"/>
    <cellStyle name="表体文字(小) 2 19 3 7" xfId="28018"/>
    <cellStyle name="表体文字(小) 2 19 3 8" xfId="28020"/>
    <cellStyle name="表体文字(小) 2 19 4" xfId="13799"/>
    <cellStyle name="表体文字(小) 2 19 5" xfId="13806"/>
    <cellStyle name="表体文字(小) 2 19 6" xfId="25446"/>
    <cellStyle name="表体文字(小) 2 19 7" xfId="296"/>
    <cellStyle name="表体文字(小) 2 19 8" xfId="305"/>
    <cellStyle name="表体文字(小) 2 19 9" xfId="5292"/>
    <cellStyle name="表体文字(小) 2 2" xfId="25097"/>
    <cellStyle name="表体文字(小) 2 2 10" xfId="24991"/>
    <cellStyle name="表体文字(小) 2 2 2" xfId="28022"/>
    <cellStyle name="表体文字(小) 2 2 2 2" xfId="18118"/>
    <cellStyle name="表体文字(小) 2 2 2 3" xfId="18121"/>
    <cellStyle name="表体文字(小) 2 2 2 4" xfId="18124"/>
    <cellStyle name="表体文字(小) 2 2 2 5" xfId="18127"/>
    <cellStyle name="表体文字(小) 2 2 2 6" xfId="18130"/>
    <cellStyle name="表体文字(小) 2 2 2 7" xfId="18133"/>
    <cellStyle name="表体文字(小) 2 2 2 8" xfId="28023"/>
    <cellStyle name="表体文字(小) 2 2 3" xfId="28024"/>
    <cellStyle name="表体文字(小) 2 2 3 2" xfId="18170"/>
    <cellStyle name="表体文字(小) 2 2 3 3" xfId="18173"/>
    <cellStyle name="表体文字(小) 2 2 3 4" xfId="18176"/>
    <cellStyle name="表体文字(小) 2 2 3 5" xfId="18179"/>
    <cellStyle name="表体文字(小) 2 2 3 6" xfId="18182"/>
    <cellStyle name="表体文字(小) 2 2 3 7" xfId="18185"/>
    <cellStyle name="表体文字(小) 2 2 3 8" xfId="28025"/>
    <cellStyle name="表体文字(小) 2 2 4" xfId="28026"/>
    <cellStyle name="表体文字(小) 2 2 5" xfId="28027"/>
    <cellStyle name="表体文字(小) 2 2 6" xfId="28028"/>
    <cellStyle name="表体文字(小) 2 2 7" xfId="22353"/>
    <cellStyle name="表体文字(小) 2 2 8" xfId="28029"/>
    <cellStyle name="表体文字(小) 2 2 9" xfId="11728"/>
    <cellStyle name="表体文字(小) 2 20" xfId="27858"/>
    <cellStyle name="表体文字(小) 2 20 10" xfId="27860"/>
    <cellStyle name="表体文字(小) 2 20 2" xfId="16385"/>
    <cellStyle name="表体文字(小) 2 20 2 2" xfId="27862"/>
    <cellStyle name="表体文字(小) 2 20 2 3" xfId="27864"/>
    <cellStyle name="表体文字(小) 2 20 2 4" xfId="27866"/>
    <cellStyle name="表体文字(小) 2 20 2 5" xfId="27868"/>
    <cellStyle name="表体文字(小) 2 20 2 6" xfId="27870"/>
    <cellStyle name="表体文字(小) 2 20 2 7" xfId="27872"/>
    <cellStyle name="表体文字(小) 2 20 2 8" xfId="27874"/>
    <cellStyle name="表体文字(小) 2 20 3" xfId="27876"/>
    <cellStyle name="表体文字(小) 2 20 3 2" xfId="27878"/>
    <cellStyle name="表体文字(小) 2 20 3 3" xfId="27880"/>
    <cellStyle name="表体文字(小) 2 20 3 4" xfId="27882"/>
    <cellStyle name="表体文字(小) 2 20 3 5" xfId="27884"/>
    <cellStyle name="表体文字(小) 2 20 3 6" xfId="27886"/>
    <cellStyle name="表体文字(小) 2 20 3 7" xfId="27888"/>
    <cellStyle name="表体文字(小) 2 20 3 8" xfId="27890"/>
    <cellStyle name="表体文字(小) 2 20 4" xfId="8600"/>
    <cellStyle name="表体文字(小) 2 20 5" xfId="8605"/>
    <cellStyle name="表体文字(小) 2 20 6" xfId="8610"/>
    <cellStyle name="表体文字(小) 2 20 7" xfId="8615"/>
    <cellStyle name="表体文字(小) 2 20 8" xfId="8620"/>
    <cellStyle name="表体文字(小) 2 20 9" xfId="8625"/>
    <cellStyle name="表体文字(小) 2 21" xfId="27892"/>
    <cellStyle name="表体文字(小) 2 21 10" xfId="27895"/>
    <cellStyle name="表体文字(小) 2 21 2" xfId="5600"/>
    <cellStyle name="表体文字(小) 2 21 2 2" xfId="27897"/>
    <cellStyle name="表体文字(小) 2 21 2 3" xfId="27899"/>
    <cellStyle name="表体文字(小) 2 21 2 4" xfId="27901"/>
    <cellStyle name="表体文字(小) 2 21 2 5" xfId="27903"/>
    <cellStyle name="表体文字(小) 2 21 2 6" xfId="27905"/>
    <cellStyle name="表体文字(小) 2 21 2 7" xfId="27907"/>
    <cellStyle name="表体文字(小) 2 21 2 8" xfId="27909"/>
    <cellStyle name="表体文字(小) 2 21 3" xfId="22645"/>
    <cellStyle name="表体文字(小) 2 21 3 2" xfId="27911"/>
    <cellStyle name="表体文字(小) 2 21 3 3" xfId="27913"/>
    <cellStyle name="表体文字(小) 2 21 3 4" xfId="27915"/>
    <cellStyle name="表体文字(小) 2 21 3 5" xfId="27917"/>
    <cellStyle name="表体文字(小) 2 21 3 6" xfId="27919"/>
    <cellStyle name="表体文字(小) 2 21 3 7" xfId="27921"/>
    <cellStyle name="表体文字(小) 2 21 3 8" xfId="27923"/>
    <cellStyle name="表体文字(小) 2 21 4" xfId="8644"/>
    <cellStyle name="表体文字(小) 2 21 5" xfId="8649"/>
    <cellStyle name="表体文字(小) 2 21 6" xfId="8655"/>
    <cellStyle name="表体文字(小) 2 21 7" xfId="8660"/>
    <cellStyle name="表体文字(小) 2 21 8" xfId="8665"/>
    <cellStyle name="表体文字(小) 2 21 9" xfId="8670"/>
    <cellStyle name="表体文字(小) 2 22" xfId="27925"/>
    <cellStyle name="表体文字(小) 2 22 10" xfId="27928"/>
    <cellStyle name="表体文字(小) 2 22 2" xfId="22653"/>
    <cellStyle name="表体文字(小) 2 22 2 2" xfId="27930"/>
    <cellStyle name="表体文字(小) 2 22 2 3" xfId="27934"/>
    <cellStyle name="表体文字(小) 2 22 2 4" xfId="27938"/>
    <cellStyle name="表体文字(小) 2 22 2 5" xfId="27942"/>
    <cellStyle name="表体文字(小) 2 22 2 6" xfId="27946"/>
    <cellStyle name="表体文字(小) 2 22 2 7" xfId="27950"/>
    <cellStyle name="表体文字(小) 2 22 2 8" xfId="27954"/>
    <cellStyle name="表体文字(小) 2 22 3" xfId="22656"/>
    <cellStyle name="表体文字(小) 2 22 3 2" xfId="27958"/>
    <cellStyle name="表体文字(小) 2 22 3 3" xfId="27960"/>
    <cellStyle name="表体文字(小) 2 22 3 4" xfId="27962"/>
    <cellStyle name="表体文字(小) 2 22 3 5" xfId="27964"/>
    <cellStyle name="表体文字(小) 2 22 3 6" xfId="27966"/>
    <cellStyle name="表体文字(小) 2 22 3 7" xfId="27968"/>
    <cellStyle name="表体文字(小) 2 22 3 8" xfId="27970"/>
    <cellStyle name="表体文字(小) 2 22 4" xfId="8683"/>
    <cellStyle name="表体文字(小) 2 22 5" xfId="8687"/>
    <cellStyle name="表体文字(小) 2 22 6" xfId="22659"/>
    <cellStyle name="表体文字(小) 2 22 7" xfId="27972"/>
    <cellStyle name="表体文字(小) 2 22 8" xfId="27974"/>
    <cellStyle name="表体文字(小) 2 22 9" xfId="27976"/>
    <cellStyle name="表体文字(小) 2 23" xfId="27978"/>
    <cellStyle name="表体文字(小) 2 23 10" xfId="23886"/>
    <cellStyle name="表体文字(小) 2 23 2" xfId="13761"/>
    <cellStyle name="表体文字(小) 2 23 2 2" xfId="2888"/>
    <cellStyle name="表体文字(小) 2 23 2 3" xfId="27983"/>
    <cellStyle name="表体文字(小) 2 23 2 4" xfId="27985"/>
    <cellStyle name="表体文字(小) 2 23 2 5" xfId="27987"/>
    <cellStyle name="表体文字(小) 2 23 2 6" xfId="27989"/>
    <cellStyle name="表体文字(小) 2 23 2 7" xfId="27991"/>
    <cellStyle name="表体文字(小) 2 23 2 8" xfId="27993"/>
    <cellStyle name="表体文字(小) 2 23 3" xfId="13765"/>
    <cellStyle name="表体文字(小) 2 23 3 2" xfId="2900"/>
    <cellStyle name="表体文字(小) 2 23 3 3" xfId="27995"/>
    <cellStyle name="表体文字(小) 2 23 3 4" xfId="27997"/>
    <cellStyle name="表体文字(小) 2 23 3 5" xfId="27999"/>
    <cellStyle name="表体文字(小) 2 23 3 6" xfId="8979"/>
    <cellStyle name="表体文字(小) 2 23 3 7" xfId="28001"/>
    <cellStyle name="表体文字(小) 2 23 3 8" xfId="28003"/>
    <cellStyle name="表体文字(小) 2 23 4" xfId="13769"/>
    <cellStyle name="表体文字(小) 2 23 5" xfId="13774"/>
    <cellStyle name="表体文字(小) 2 23 6" xfId="25433"/>
    <cellStyle name="表体文字(小) 2 23 7" xfId="25436"/>
    <cellStyle name="表体文字(小) 2 23 8" xfId="25439"/>
    <cellStyle name="表体文字(小) 2 23 9" xfId="25442"/>
    <cellStyle name="表体文字(小) 2 24" xfId="28005"/>
    <cellStyle name="表体文字(小) 2 24 10" xfId="28008"/>
    <cellStyle name="表体文字(小) 2 24 2" xfId="13792"/>
    <cellStyle name="表体文字(小) 2 24 2 2" xfId="1059"/>
    <cellStyle name="表体文字(小) 2 24 2 3" xfId="28010"/>
    <cellStyle name="表体文字(小) 2 24 2 4" xfId="28012"/>
    <cellStyle name="表体文字(小) 2 24 2 5" xfId="9453"/>
    <cellStyle name="表体文字(小) 2 24 2 6" xfId="9458"/>
    <cellStyle name="表体文字(小) 2 24 2 7" xfId="9463"/>
    <cellStyle name="表体文字(小) 2 24 2 8" xfId="9469"/>
    <cellStyle name="表体文字(小) 2 24 3" xfId="13796"/>
    <cellStyle name="表体文字(小) 2 24 3 2" xfId="2983"/>
    <cellStyle name="表体文字(小) 2 24 3 3" xfId="28014"/>
    <cellStyle name="表体文字(小) 2 24 3 4" xfId="28016"/>
    <cellStyle name="表体文字(小) 2 24 3 5" xfId="9496"/>
    <cellStyle name="表体文字(小) 2 24 3 6" xfId="9499"/>
    <cellStyle name="表体文字(小) 2 24 3 7" xfId="28019"/>
    <cellStyle name="表体文字(小) 2 24 3 8" xfId="28021"/>
    <cellStyle name="表体文字(小) 2 24 4" xfId="13800"/>
    <cellStyle name="表体文字(小) 2 24 5" xfId="13807"/>
    <cellStyle name="表体文字(小) 2 24 6" xfId="25447"/>
    <cellStyle name="表体文字(小) 2 24 7" xfId="297"/>
    <cellStyle name="表体文字(小) 2 24 8" xfId="306"/>
    <cellStyle name="表体文字(小) 2 24 9" xfId="5293"/>
    <cellStyle name="表体文字(小) 2 25" xfId="28030"/>
    <cellStyle name="表体文字(小) 2 25 10" xfId="28033"/>
    <cellStyle name="表体文字(小) 2 25 2" xfId="28035"/>
    <cellStyle name="表体文字(小) 2 25 2 2" xfId="28037"/>
    <cellStyle name="表体文字(小) 2 25 2 3" xfId="28039"/>
    <cellStyle name="表体文字(小) 2 25 2 4" xfId="28041"/>
    <cellStyle name="表体文字(小) 2 25 2 5" xfId="28043"/>
    <cellStyle name="表体文字(小) 2 25 2 6" xfId="28045"/>
    <cellStyle name="表体文字(小) 2 25 2 7" xfId="28047"/>
    <cellStyle name="表体文字(小) 2 25 2 8" xfId="28049"/>
    <cellStyle name="表体文字(小) 2 25 3" xfId="28051"/>
    <cellStyle name="表体文字(小) 2 25 3 2" xfId="28053"/>
    <cellStyle name="表体文字(小) 2 25 3 3" xfId="28055"/>
    <cellStyle name="表体文字(小) 2 25 3 4" xfId="28057"/>
    <cellStyle name="表体文字(小) 2 25 3 5" xfId="28061"/>
    <cellStyle name="表体文字(小) 2 25 3 6" xfId="28063"/>
    <cellStyle name="表体文字(小) 2 25 3 7" xfId="28065"/>
    <cellStyle name="表体文字(小) 2 25 3 8" xfId="28067"/>
    <cellStyle name="表体文字(小) 2 25 4" xfId="8692"/>
    <cellStyle name="表体文字(小) 2 25 5" xfId="8695"/>
    <cellStyle name="表体文字(小) 2 25 6" xfId="28069"/>
    <cellStyle name="表体文字(小) 2 25 7" xfId="28071"/>
    <cellStyle name="表体文字(小) 2 25 8" xfId="28073"/>
    <cellStyle name="表体文字(小) 2 25 9" xfId="28075"/>
    <cellStyle name="表体文字(小) 2 26" xfId="28077"/>
    <cellStyle name="表体文字(小) 2 26 10" xfId="1576"/>
    <cellStyle name="表体文字(小) 2 26 2" xfId="5641"/>
    <cellStyle name="表体文字(小) 2 26 2 2" xfId="28080"/>
    <cellStyle name="表体文字(小) 2 26 2 3" xfId="28082"/>
    <cellStyle name="表体文字(小) 2 26 2 4" xfId="28086"/>
    <cellStyle name="表体文字(小) 2 26 2 5" xfId="28090"/>
    <cellStyle name="表体文字(小) 2 26 2 6" xfId="28094"/>
    <cellStyle name="表体文字(小) 2 26 2 7" xfId="28098"/>
    <cellStyle name="表体文字(小) 2 26 2 8" xfId="28102"/>
    <cellStyle name="表体文字(小) 2 26 3" xfId="28106"/>
    <cellStyle name="表体文字(小) 2 26 3 2" xfId="6945"/>
    <cellStyle name="表体文字(小) 2 26 3 3" xfId="6947"/>
    <cellStyle name="表体文字(小) 2 26 3 4" xfId="6951"/>
    <cellStyle name="表体文字(小) 2 26 3 5" xfId="6957"/>
    <cellStyle name="表体文字(小) 2 26 3 6" xfId="6961"/>
    <cellStyle name="表体文字(小) 2 26 3 7" xfId="28108"/>
    <cellStyle name="表体文字(小) 2 26 3 8" xfId="28111"/>
    <cellStyle name="表体文字(小) 2 26 4" xfId="28114"/>
    <cellStyle name="表体文字(小) 2 26 5" xfId="28116"/>
    <cellStyle name="表体文字(小) 2 26 6" xfId="28118"/>
    <cellStyle name="表体文字(小) 2 26 7" xfId="28120"/>
    <cellStyle name="表体文字(小) 2 26 8" xfId="28122"/>
    <cellStyle name="表体文字(小) 2 26 9" xfId="28124"/>
    <cellStyle name="表体文字(小) 2 27" xfId="26454"/>
    <cellStyle name="表体文字(小) 2 27 10" xfId="28126"/>
    <cellStyle name="表体文字(小) 2 27 2" xfId="28128"/>
    <cellStyle name="表体文字(小) 2 27 2 2" xfId="5702"/>
    <cellStyle name="表体文字(小) 2 27 2 3" xfId="28130"/>
    <cellStyle name="表体文字(小) 2 27 2 4" xfId="12358"/>
    <cellStyle name="表体文字(小) 2 27 2 5" xfId="12363"/>
    <cellStyle name="表体文字(小) 2 27 2 6" xfId="28134"/>
    <cellStyle name="表体文字(小) 2 27 2 7" xfId="28138"/>
    <cellStyle name="表体文字(小) 2 27 2 8" xfId="28142"/>
    <cellStyle name="表体文字(小) 2 27 3" xfId="28146"/>
    <cellStyle name="表体文字(小) 2 27 3 2" xfId="28148"/>
    <cellStyle name="表体文字(小) 2 27 3 3" xfId="28150"/>
    <cellStyle name="表体文字(小) 2 27 3 4" xfId="28154"/>
    <cellStyle name="表体文字(小) 2 27 3 5" xfId="28160"/>
    <cellStyle name="表体文字(小) 2 27 3 6" xfId="28164"/>
    <cellStyle name="表体文字(小) 2 27 3 7" xfId="10391"/>
    <cellStyle name="表体文字(小) 2 27 3 8" xfId="10398"/>
    <cellStyle name="表体文字(小) 2 27 4" xfId="8700"/>
    <cellStyle name="表体文字(小) 2 27 5" xfId="8703"/>
    <cellStyle name="表体文字(小) 2 27 6" xfId="28168"/>
    <cellStyle name="表体文字(小) 2 27 7" xfId="3026"/>
    <cellStyle name="表体文字(小) 2 27 8" xfId="3042"/>
    <cellStyle name="表体文字(小) 2 27 9" xfId="3049"/>
    <cellStyle name="表体文字(小) 2 28" xfId="26459"/>
    <cellStyle name="表体文字(小) 2 28 10" xfId="24149"/>
    <cellStyle name="表体文字(小) 2 28 2" xfId="19221"/>
    <cellStyle name="表体文字(小) 2 28 2 2" xfId="28170"/>
    <cellStyle name="表体文字(小) 2 28 2 3" xfId="28172"/>
    <cellStyle name="表体文字(小) 2 28 2 4" xfId="12395"/>
    <cellStyle name="表体文字(小) 2 28 2 5" xfId="12398"/>
    <cellStyle name="表体文字(小) 2 28 2 6" xfId="28174"/>
    <cellStyle name="表体文字(小) 2 28 2 7" xfId="28176"/>
    <cellStyle name="表体文字(小) 2 28 2 8" xfId="28178"/>
    <cellStyle name="表体文字(小) 2 28 3" xfId="19225"/>
    <cellStyle name="表体文字(小) 2 28 3 2" xfId="28180"/>
    <cellStyle name="表体文字(小) 2 28 3 3" xfId="28182"/>
    <cellStyle name="表体文字(小) 2 28 3 4" xfId="28184"/>
    <cellStyle name="表体文字(小) 2 28 3 5" xfId="28188"/>
    <cellStyle name="表体文字(小) 2 28 3 6" xfId="28190"/>
    <cellStyle name="表体文字(小) 2 28 3 7" xfId="28192"/>
    <cellStyle name="表体文字(小) 2 28 3 8" xfId="28194"/>
    <cellStyle name="表体文字(小) 2 28 4" xfId="19229"/>
    <cellStyle name="表体文字(小) 2 28 5" xfId="28196"/>
    <cellStyle name="表体文字(小) 2 28 6" xfId="28198"/>
    <cellStyle name="表体文字(小) 2 28 7" xfId="28200"/>
    <cellStyle name="表体文字(小) 2 28 8" xfId="28202"/>
    <cellStyle name="表体文字(小) 2 28 9" xfId="28204"/>
    <cellStyle name="表体文字(小) 2 29" xfId="26463"/>
    <cellStyle name="表体文字(小) 2 29 10" xfId="28206"/>
    <cellStyle name="表体文字(小) 2 29 2" xfId="19248"/>
    <cellStyle name="表体文字(小) 2 29 2 2" xfId="12809"/>
    <cellStyle name="表体文字(小) 2 29 2 3" xfId="3745"/>
    <cellStyle name="表体文字(小) 2 29 2 4" xfId="6089"/>
    <cellStyle name="表体文字(小) 2 29 2 5" xfId="28208"/>
    <cellStyle name="表体文字(小) 2 29 2 6" xfId="28210"/>
    <cellStyle name="表体文字(小) 2 29 2 7" xfId="28212"/>
    <cellStyle name="表体文字(小) 2 29 2 8" xfId="28214"/>
    <cellStyle name="表体文字(小) 2 29 3" xfId="19253"/>
    <cellStyle name="表体文字(小) 2 29 3 2" xfId="28216"/>
    <cellStyle name="表体文字(小) 2 29 3 3" xfId="3764"/>
    <cellStyle name="表体文字(小) 2 29 3 4" xfId="4916"/>
    <cellStyle name="表体文字(小) 2 29 3 5" xfId="28218"/>
    <cellStyle name="表体文字(小) 2 29 3 6" xfId="28220"/>
    <cellStyle name="表体文字(小) 2 29 3 7" xfId="28222"/>
    <cellStyle name="表体文字(小) 2 29 3 8" xfId="28224"/>
    <cellStyle name="表体文字(小) 2 29 4" xfId="19257"/>
    <cellStyle name="表体文字(小) 2 29 5" xfId="20667"/>
    <cellStyle name="表体文字(小) 2 29 6" xfId="28226"/>
    <cellStyle name="表体文字(小) 2 29 7" xfId="28228"/>
    <cellStyle name="表体文字(小) 2 29 8" xfId="28230"/>
    <cellStyle name="表体文字(小) 2 29 9" xfId="28232"/>
    <cellStyle name="表体文字(小) 2 3" xfId="25100"/>
    <cellStyle name="表体文字(小) 2 3 10" xfId="28234"/>
    <cellStyle name="表体文字(小) 2 3 2" xfId="15331"/>
    <cellStyle name="表体文字(小) 2 3 2 2" xfId="28235"/>
    <cellStyle name="表体文字(小) 2 3 2 3" xfId="28236"/>
    <cellStyle name="表体文字(小) 2 3 2 4" xfId="28237"/>
    <cellStyle name="表体文字(小) 2 3 2 5" xfId="28238"/>
    <cellStyle name="表体文字(小) 2 3 2 6" xfId="28239"/>
    <cellStyle name="表体文字(小) 2 3 2 7" xfId="28240"/>
    <cellStyle name="表体文字(小) 2 3 2 8" xfId="28241"/>
    <cellStyle name="表体文字(小) 2 3 3" xfId="28242"/>
    <cellStyle name="表体文字(小) 2 3 3 2" xfId="28243"/>
    <cellStyle name="表体文字(小) 2 3 3 3" xfId="28244"/>
    <cellStyle name="表体文字(小) 2 3 3 4" xfId="28245"/>
    <cellStyle name="表体文字(小) 2 3 3 5" xfId="28246"/>
    <cellStyle name="表体文字(小) 2 3 3 6" xfId="28247"/>
    <cellStyle name="表体文字(小) 2 3 3 7" xfId="28248"/>
    <cellStyle name="表体文字(小) 2 3 3 8" xfId="28249"/>
    <cellStyle name="表体文字(小) 2 3 4" xfId="28250"/>
    <cellStyle name="表体文字(小) 2 3 5" xfId="17188"/>
    <cellStyle name="表体文字(小) 2 3 6" xfId="28251"/>
    <cellStyle name="表体文字(小) 2 3 7" xfId="28252"/>
    <cellStyle name="表体文字(小) 2 3 8" xfId="28253"/>
    <cellStyle name="表体文字(小) 2 3 9" xfId="28254"/>
    <cellStyle name="表体文字(小) 2 30" xfId="28031"/>
    <cellStyle name="表体文字(小) 2 30 10" xfId="28034"/>
    <cellStyle name="表体文字(小) 2 30 2" xfId="28036"/>
    <cellStyle name="表体文字(小) 2 30 2 2" xfId="28038"/>
    <cellStyle name="表体文字(小) 2 30 2 3" xfId="28040"/>
    <cellStyle name="表体文字(小) 2 30 2 4" xfId="28042"/>
    <cellStyle name="表体文字(小) 2 30 2 5" xfId="28044"/>
    <cellStyle name="表体文字(小) 2 30 2 6" xfId="28046"/>
    <cellStyle name="表体文字(小) 2 30 2 7" xfId="28048"/>
    <cellStyle name="表体文字(小) 2 30 2 8" xfId="28050"/>
    <cellStyle name="表体文字(小) 2 30 3" xfId="28052"/>
    <cellStyle name="表体文字(小) 2 30 3 2" xfId="28054"/>
    <cellStyle name="表体文字(小) 2 30 3 3" xfId="28056"/>
    <cellStyle name="表体文字(小) 2 30 3 4" xfId="28058"/>
    <cellStyle name="表体文字(小) 2 30 3 5" xfId="28062"/>
    <cellStyle name="表体文字(小) 2 30 3 6" xfId="28064"/>
    <cellStyle name="表体文字(小) 2 30 3 7" xfId="28066"/>
    <cellStyle name="表体文字(小) 2 30 3 8" xfId="28068"/>
    <cellStyle name="表体文字(小) 2 30 4" xfId="8693"/>
    <cellStyle name="表体文字(小) 2 30 5" xfId="8696"/>
    <cellStyle name="表体文字(小) 2 30 6" xfId="28070"/>
    <cellStyle name="表体文字(小) 2 30 7" xfId="28072"/>
    <cellStyle name="表体文字(小) 2 30 8" xfId="28074"/>
    <cellStyle name="表体文字(小) 2 30 9" xfId="28076"/>
    <cellStyle name="表体文字(小) 2 31" xfId="28078"/>
    <cellStyle name="表体文字(小) 2 31 10" xfId="1575"/>
    <cellStyle name="表体文字(小) 2 31 2" xfId="5642"/>
    <cellStyle name="表体文字(小) 2 31 2 2" xfId="28081"/>
    <cellStyle name="表体文字(小) 2 31 2 3" xfId="28083"/>
    <cellStyle name="表体文字(小) 2 31 2 4" xfId="28087"/>
    <cellStyle name="表体文字(小) 2 31 2 5" xfId="28091"/>
    <cellStyle name="表体文字(小) 2 31 2 6" xfId="28095"/>
    <cellStyle name="表体文字(小) 2 31 2 7" xfId="28099"/>
    <cellStyle name="表体文字(小) 2 31 2 8" xfId="28103"/>
    <cellStyle name="表体文字(小) 2 31 3" xfId="28107"/>
    <cellStyle name="表体文字(小) 2 31 3 2" xfId="6946"/>
    <cellStyle name="表体文字(小) 2 31 3 3" xfId="6948"/>
    <cellStyle name="表体文字(小) 2 31 3 4" xfId="6952"/>
    <cellStyle name="表体文字(小) 2 31 3 5" xfId="6958"/>
    <cellStyle name="表体文字(小) 2 31 3 6" xfId="6962"/>
    <cellStyle name="表体文字(小) 2 31 3 7" xfId="28109"/>
    <cellStyle name="表体文字(小) 2 31 3 8" xfId="28112"/>
    <cellStyle name="表体文字(小) 2 31 4" xfId="28115"/>
    <cellStyle name="表体文字(小) 2 31 5" xfId="28117"/>
    <cellStyle name="表体文字(小) 2 31 6" xfId="28119"/>
    <cellStyle name="表体文字(小) 2 31 7" xfId="28121"/>
    <cellStyle name="表体文字(小) 2 31 8" xfId="28123"/>
    <cellStyle name="表体文字(小) 2 31 9" xfId="28125"/>
    <cellStyle name="表体文字(小) 2 32" xfId="26455"/>
    <cellStyle name="表体文字(小) 2 32 10" xfId="28127"/>
    <cellStyle name="表体文字(小) 2 32 2" xfId="28129"/>
    <cellStyle name="表体文字(小) 2 32 2 2" xfId="5703"/>
    <cellStyle name="表体文字(小) 2 32 2 3" xfId="28131"/>
    <cellStyle name="表体文字(小) 2 32 2 4" xfId="12359"/>
    <cellStyle name="表体文字(小) 2 32 2 5" xfId="12364"/>
    <cellStyle name="表体文字(小) 2 32 2 6" xfId="28135"/>
    <cellStyle name="表体文字(小) 2 32 2 7" xfId="28139"/>
    <cellStyle name="表体文字(小) 2 32 2 8" xfId="28143"/>
    <cellStyle name="表体文字(小) 2 32 3" xfId="28147"/>
    <cellStyle name="表体文字(小) 2 32 3 2" xfId="28149"/>
    <cellStyle name="表体文字(小) 2 32 3 3" xfId="28151"/>
    <cellStyle name="表体文字(小) 2 32 3 4" xfId="28155"/>
    <cellStyle name="表体文字(小) 2 32 3 5" xfId="28161"/>
    <cellStyle name="表体文字(小) 2 32 3 6" xfId="28165"/>
    <cellStyle name="表体文字(小) 2 32 3 7" xfId="10392"/>
    <cellStyle name="表体文字(小) 2 32 3 8" xfId="10399"/>
    <cellStyle name="表体文字(小) 2 32 4" xfId="8701"/>
    <cellStyle name="表体文字(小) 2 32 5" xfId="8704"/>
    <cellStyle name="表体文字(小) 2 32 6" xfId="28169"/>
    <cellStyle name="表体文字(小) 2 32 7" xfId="3025"/>
    <cellStyle name="表体文字(小) 2 32 8" xfId="3041"/>
    <cellStyle name="表体文字(小) 2 32 9" xfId="3048"/>
    <cellStyle name="表体文字(小) 2 33" xfId="26460"/>
    <cellStyle name="表体文字(小) 2 33 10" xfId="24150"/>
    <cellStyle name="表体文字(小) 2 33 2" xfId="19222"/>
    <cellStyle name="表体文字(小) 2 33 2 2" xfId="28171"/>
    <cellStyle name="表体文字(小) 2 33 2 3" xfId="28173"/>
    <cellStyle name="表体文字(小) 2 33 2 4" xfId="12396"/>
    <cellStyle name="表体文字(小) 2 33 2 5" xfId="12399"/>
    <cellStyle name="表体文字(小) 2 33 2 6" xfId="28175"/>
    <cellStyle name="表体文字(小) 2 33 2 7" xfId="28177"/>
    <cellStyle name="表体文字(小) 2 33 2 8" xfId="28179"/>
    <cellStyle name="表体文字(小) 2 33 3" xfId="19226"/>
    <cellStyle name="表体文字(小) 2 33 3 2" xfId="28181"/>
    <cellStyle name="表体文字(小) 2 33 3 3" xfId="28183"/>
    <cellStyle name="表体文字(小) 2 33 3 4" xfId="28185"/>
    <cellStyle name="表体文字(小) 2 33 3 5" xfId="28189"/>
    <cellStyle name="表体文字(小) 2 33 3 6" xfId="28191"/>
    <cellStyle name="表体文字(小) 2 33 3 7" xfId="28193"/>
    <cellStyle name="表体文字(小) 2 33 3 8" xfId="28195"/>
    <cellStyle name="表体文字(小) 2 33 4" xfId="19230"/>
    <cellStyle name="表体文字(小) 2 33 5" xfId="28197"/>
    <cellStyle name="表体文字(小) 2 33 6" xfId="28199"/>
    <cellStyle name="表体文字(小) 2 33 7" xfId="28201"/>
    <cellStyle name="表体文字(小) 2 33 8" xfId="28203"/>
    <cellStyle name="表体文字(小) 2 33 9" xfId="28205"/>
    <cellStyle name="表体文字(小) 2 34" xfId="26464"/>
    <cellStyle name="表体文字(小) 2 34 10" xfId="28207"/>
    <cellStyle name="表体文字(小) 2 34 2" xfId="19249"/>
    <cellStyle name="表体文字(小) 2 34 2 2" xfId="12810"/>
    <cellStyle name="表体文字(小) 2 34 2 3" xfId="3744"/>
    <cellStyle name="表体文字(小) 2 34 2 4" xfId="6090"/>
    <cellStyle name="表体文字(小) 2 34 2 5" xfId="28209"/>
    <cellStyle name="表体文字(小) 2 34 2 6" xfId="28211"/>
    <cellStyle name="表体文字(小) 2 34 2 7" xfId="28213"/>
    <cellStyle name="表体文字(小) 2 34 2 8" xfId="28215"/>
    <cellStyle name="表体文字(小) 2 34 3" xfId="19254"/>
    <cellStyle name="表体文字(小) 2 34 3 2" xfId="28217"/>
    <cellStyle name="表体文字(小) 2 34 3 3" xfId="3763"/>
    <cellStyle name="表体文字(小) 2 34 3 4" xfId="4917"/>
    <cellStyle name="表体文字(小) 2 34 3 5" xfId="28219"/>
    <cellStyle name="表体文字(小) 2 34 3 6" xfId="28221"/>
    <cellStyle name="表体文字(小) 2 34 3 7" xfId="28223"/>
    <cellStyle name="表体文字(小) 2 34 3 8" xfId="28225"/>
    <cellStyle name="表体文字(小) 2 34 4" xfId="19258"/>
    <cellStyle name="表体文字(小) 2 34 5" xfId="20668"/>
    <cellStyle name="表体文字(小) 2 34 6" xfId="28227"/>
    <cellStyle name="表体文字(小) 2 34 7" xfId="28229"/>
    <cellStyle name="表体文字(小) 2 34 8" xfId="28231"/>
    <cellStyle name="表体文字(小) 2 34 9" xfId="28233"/>
    <cellStyle name="表体文字(小) 2 35" xfId="26467"/>
    <cellStyle name="表体文字(小) 2 35 10" xfId="28255"/>
    <cellStyle name="表体文字(小) 2 35 2" xfId="21345"/>
    <cellStyle name="表体文字(小) 2 35 2 2" xfId="28257"/>
    <cellStyle name="表体文字(小) 2 35 2 3" xfId="28259"/>
    <cellStyle name="表体文字(小) 2 35 2 4" xfId="28261"/>
    <cellStyle name="表体文字(小) 2 35 2 5" xfId="28263"/>
    <cellStyle name="表体文字(小) 2 35 2 6" xfId="28265"/>
    <cellStyle name="表体文字(小) 2 35 2 7" xfId="28267"/>
    <cellStyle name="表体文字(小) 2 35 2 8" xfId="28269"/>
    <cellStyle name="表体文字(小) 2 35 3" xfId="21348"/>
    <cellStyle name="表体文字(小) 2 35 3 2" xfId="28271"/>
    <cellStyle name="表体文字(小) 2 35 3 3" xfId="28273"/>
    <cellStyle name="表体文字(小) 2 35 3 4" xfId="28275"/>
    <cellStyle name="表体文字(小) 2 35 3 5" xfId="28277"/>
    <cellStyle name="表体文字(小) 2 35 3 6" xfId="28279"/>
    <cellStyle name="表体文字(小) 2 35 3 7" xfId="28281"/>
    <cellStyle name="表体文字(小) 2 35 3 8" xfId="28283"/>
    <cellStyle name="表体文字(小) 2 35 4" xfId="28285"/>
    <cellStyle name="表体文字(小) 2 35 5" xfId="28287"/>
    <cellStyle name="表体文字(小) 2 35 6" xfId="28289"/>
    <cellStyle name="表体文字(小) 2 35 7" xfId="28291"/>
    <cellStyle name="表体文字(小) 2 35 8" xfId="28293"/>
    <cellStyle name="表体文字(小) 2 35 9" xfId="28295"/>
    <cellStyle name="表体文字(小) 2 36" xfId="26471"/>
    <cellStyle name="表体文字(小) 2 36 10" xfId="28297"/>
    <cellStyle name="表体文字(小) 2 36 2" xfId="5675"/>
    <cellStyle name="表体文字(小) 2 36 2 2" xfId="28299"/>
    <cellStyle name="表体文字(小) 2 36 2 3" xfId="28301"/>
    <cellStyle name="表体文字(小) 2 36 2 4" xfId="28303"/>
    <cellStyle name="表体文字(小) 2 36 2 5" xfId="28305"/>
    <cellStyle name="表体文字(小) 2 36 2 6" xfId="28307"/>
    <cellStyle name="表体文字(小) 2 36 2 7" xfId="28309"/>
    <cellStyle name="表体文字(小) 2 36 2 8" xfId="28311"/>
    <cellStyle name="表体文字(小) 2 36 3" xfId="28313"/>
    <cellStyle name="表体文字(小) 2 36 3 2" xfId="28315"/>
    <cellStyle name="表体文字(小) 2 36 3 3" xfId="28317"/>
    <cellStyle name="表体文字(小) 2 36 3 4" xfId="28319"/>
    <cellStyle name="表体文字(小) 2 36 3 5" xfId="28321"/>
    <cellStyle name="表体文字(小) 2 36 3 6" xfId="28323"/>
    <cellStyle name="表体文字(小) 2 36 3 7" xfId="28325"/>
    <cellStyle name="表体文字(小) 2 36 3 8" xfId="28327"/>
    <cellStyle name="表体文字(小) 2 36 4" xfId="28329"/>
    <cellStyle name="表体文字(小) 2 36 5" xfId="28331"/>
    <cellStyle name="表体文字(小) 2 36 6" xfId="28333"/>
    <cellStyle name="表体文字(小) 2 36 7" xfId="28335"/>
    <cellStyle name="表体文字(小) 2 36 8" xfId="28337"/>
    <cellStyle name="表体文字(小) 2 36 9" xfId="28339"/>
    <cellStyle name="表体文字(小) 2 37" xfId="26475"/>
    <cellStyle name="表体文字(小) 2 37 10" xfId="28341"/>
    <cellStyle name="表体文字(小) 2 37 2" xfId="28343"/>
    <cellStyle name="表体文字(小) 2 37 2 2" xfId="28345"/>
    <cellStyle name="表体文字(小) 2 37 2 3" xfId="28347"/>
    <cellStyle name="表体文字(小) 2 37 2 4" xfId="28349"/>
    <cellStyle name="表体文字(小) 2 37 2 5" xfId="28351"/>
    <cellStyle name="表体文字(小) 2 37 2 6" xfId="28353"/>
    <cellStyle name="表体文字(小) 2 37 2 7" xfId="28355"/>
    <cellStyle name="表体文字(小) 2 37 2 8" xfId="28357"/>
    <cellStyle name="表体文字(小) 2 37 3" xfId="28359"/>
    <cellStyle name="表体文字(小) 2 37 3 2" xfId="28361"/>
    <cellStyle name="表体文字(小) 2 37 3 3" xfId="28363"/>
    <cellStyle name="表体文字(小) 2 37 3 4" xfId="28365"/>
    <cellStyle name="表体文字(小) 2 37 3 5" xfId="28367"/>
    <cellStyle name="表体文字(小) 2 37 3 6" xfId="28369"/>
    <cellStyle name="表体文字(小) 2 37 3 7" xfId="11007"/>
    <cellStyle name="表体文字(小) 2 37 3 8" xfId="11031"/>
    <cellStyle name="表体文字(小) 2 37 4" xfId="28371"/>
    <cellStyle name="表体文字(小) 2 37 5" xfId="28373"/>
    <cellStyle name="表体文字(小) 2 37 6" xfId="28375"/>
    <cellStyle name="表体文字(小) 2 37 7" xfId="28377"/>
    <cellStyle name="表体文字(小) 2 37 8" xfId="28379"/>
    <cellStyle name="表体文字(小) 2 37 9" xfId="317"/>
    <cellStyle name="表体文字(小) 2 38" xfId="26479"/>
    <cellStyle name="表体文字(小) 2 38 10" xfId="24198"/>
    <cellStyle name="表体文字(小) 2 38 2" xfId="28381"/>
    <cellStyle name="表体文字(小) 2 38 2 2" xfId="13953"/>
    <cellStyle name="表体文字(小) 2 38 2 3" xfId="15101"/>
    <cellStyle name="表体文字(小) 2 38 2 4" xfId="28383"/>
    <cellStyle name="表体文字(小) 2 38 2 5" xfId="28385"/>
    <cellStyle name="表体文字(小) 2 38 2 6" xfId="28387"/>
    <cellStyle name="表体文字(小) 2 38 2 7" xfId="28389"/>
    <cellStyle name="表体文字(小) 2 38 2 8" xfId="28391"/>
    <cellStyle name="表体文字(小) 2 38 3" xfId="28393"/>
    <cellStyle name="表体文字(小) 2 38 3 2" xfId="5330"/>
    <cellStyle name="表体文字(小) 2 38 3 3" xfId="28395"/>
    <cellStyle name="表体文字(小) 2 38 3 4" xfId="28397"/>
    <cellStyle name="表体文字(小) 2 38 3 5" xfId="28399"/>
    <cellStyle name="表体文字(小) 2 38 3 6" xfId="28401"/>
    <cellStyle name="表体文字(小) 2 38 3 7" xfId="28403"/>
    <cellStyle name="表体文字(小) 2 38 3 8" xfId="28405"/>
    <cellStyle name="表体文字(小) 2 38 4" xfId="12269"/>
    <cellStyle name="表体文字(小) 2 38 5" xfId="12276"/>
    <cellStyle name="表体文字(小) 2 38 6" xfId="12279"/>
    <cellStyle name="表体文字(小) 2 38 7" xfId="12282"/>
    <cellStyle name="表体文字(小) 2 38 8" xfId="12285"/>
    <cellStyle name="表体文字(小) 2 38 9" xfId="12293"/>
    <cellStyle name="表体文字(小) 2 39" xfId="28407"/>
    <cellStyle name="表体文字(小) 2 39 10" xfId="28409"/>
    <cellStyle name="表体文字(小) 2 39 2" xfId="18005"/>
    <cellStyle name="表体文字(小) 2 39 2 2" xfId="28411"/>
    <cellStyle name="表体文字(小) 2 39 2 3" xfId="28413"/>
    <cellStyle name="表体文字(小) 2 39 2 4" xfId="28415"/>
    <cellStyle name="表体文字(小) 2 39 2 5" xfId="28417"/>
    <cellStyle name="表体文字(小) 2 39 2 6" xfId="28419"/>
    <cellStyle name="表体文字(小) 2 39 2 7" xfId="28421"/>
    <cellStyle name="表体文字(小) 2 39 2 8" xfId="28423"/>
    <cellStyle name="表体文字(小) 2 39 3" xfId="18009"/>
    <cellStyle name="表体文字(小) 2 39 3 2" xfId="28425"/>
    <cellStyle name="表体文字(小) 2 39 3 3" xfId="28427"/>
    <cellStyle name="表体文字(小) 2 39 3 4" xfId="28429"/>
    <cellStyle name="表体文字(小) 2 39 3 5" xfId="28431"/>
    <cellStyle name="表体文字(小) 2 39 3 6" xfId="28433"/>
    <cellStyle name="表体文字(小) 2 39 3 7" xfId="28435"/>
    <cellStyle name="表体文字(小) 2 39 3 8" xfId="28437"/>
    <cellStyle name="表体文字(小) 2 39 4" xfId="18013"/>
    <cellStyle name="表体文字(小) 2 39 5" xfId="18019"/>
    <cellStyle name="表体文字(小) 2 39 6" xfId="18023"/>
    <cellStyle name="表体文字(小) 2 39 7" xfId="28439"/>
    <cellStyle name="表体文字(小) 2 39 8" xfId="28441"/>
    <cellStyle name="表体文字(小) 2 39 9" xfId="28443"/>
    <cellStyle name="表体文字(小) 2 4" xfId="25103"/>
    <cellStyle name="表体文字(小) 2 4 10" xfId="28445"/>
    <cellStyle name="表体文字(小) 2 4 2" xfId="28446"/>
    <cellStyle name="表体文字(小) 2 4 2 2" xfId="28447"/>
    <cellStyle name="表体文字(小) 2 4 2 3" xfId="28448"/>
    <cellStyle name="表体文字(小) 2 4 2 4" xfId="28449"/>
    <cellStyle name="表体文字(小) 2 4 2 5" xfId="28450"/>
    <cellStyle name="表体文字(小) 2 4 2 6" xfId="28451"/>
    <cellStyle name="表体文字(小) 2 4 2 7" xfId="28452"/>
    <cellStyle name="表体文字(小) 2 4 2 8" xfId="28453"/>
    <cellStyle name="表体文字(小) 2 4 3" xfId="28454"/>
    <cellStyle name="表体文字(小) 2 4 3 2" xfId="28455"/>
    <cellStyle name="表体文字(小) 2 4 3 3" xfId="28456"/>
    <cellStyle name="表体文字(小) 2 4 3 4" xfId="28457"/>
    <cellStyle name="表体文字(小) 2 4 3 5" xfId="28458"/>
    <cellStyle name="表体文字(小) 2 4 3 6" xfId="28459"/>
    <cellStyle name="表体文字(小) 2 4 3 7" xfId="28460"/>
    <cellStyle name="表体文字(小) 2 4 3 8" xfId="28461"/>
    <cellStyle name="表体文字(小) 2 4 4" xfId="28462"/>
    <cellStyle name="表体文字(小) 2 4 5" xfId="28463"/>
    <cellStyle name="表体文字(小) 2 4 6" xfId="28464"/>
    <cellStyle name="表体文字(小) 2 4 7" xfId="28465"/>
    <cellStyle name="表体文字(小) 2 4 8" xfId="28466"/>
    <cellStyle name="表体文字(小) 2 4 9" xfId="28467"/>
    <cellStyle name="表体文字(小) 2 40" xfId="26468"/>
    <cellStyle name="表体文字(小) 2 40 10" xfId="28256"/>
    <cellStyle name="表体文字(小) 2 40 2" xfId="21346"/>
    <cellStyle name="表体文字(小) 2 40 2 2" xfId="28258"/>
    <cellStyle name="表体文字(小) 2 40 2 3" xfId="28260"/>
    <cellStyle name="表体文字(小) 2 40 2 4" xfId="28262"/>
    <cellStyle name="表体文字(小) 2 40 2 5" xfId="28264"/>
    <cellStyle name="表体文字(小) 2 40 2 6" xfId="28266"/>
    <cellStyle name="表体文字(小) 2 40 2 7" xfId="28268"/>
    <cellStyle name="表体文字(小) 2 40 2 8" xfId="28270"/>
    <cellStyle name="表体文字(小) 2 40 3" xfId="21349"/>
    <cellStyle name="表体文字(小) 2 40 3 2" xfId="28272"/>
    <cellStyle name="表体文字(小) 2 40 3 3" xfId="28274"/>
    <cellStyle name="表体文字(小) 2 40 3 4" xfId="28276"/>
    <cellStyle name="表体文字(小) 2 40 3 5" xfId="28278"/>
    <cellStyle name="表体文字(小) 2 40 3 6" xfId="28280"/>
    <cellStyle name="表体文字(小) 2 40 3 7" xfId="28282"/>
    <cellStyle name="表体文字(小) 2 40 3 8" xfId="28284"/>
    <cellStyle name="表体文字(小) 2 40 4" xfId="28286"/>
    <cellStyle name="表体文字(小) 2 40 5" xfId="28288"/>
    <cellStyle name="表体文字(小) 2 40 6" xfId="28290"/>
    <cellStyle name="表体文字(小) 2 40 7" xfId="28292"/>
    <cellStyle name="表体文字(小) 2 40 8" xfId="28294"/>
    <cellStyle name="表体文字(小) 2 40 9" xfId="28296"/>
    <cellStyle name="表体文字(小) 2 41" xfId="26472"/>
    <cellStyle name="表体文字(小) 2 41 10" xfId="28298"/>
    <cellStyle name="表体文字(小) 2 41 2" xfId="5676"/>
    <cellStyle name="表体文字(小) 2 41 2 2" xfId="28300"/>
    <cellStyle name="表体文字(小) 2 41 2 3" xfId="28302"/>
    <cellStyle name="表体文字(小) 2 41 2 4" xfId="28304"/>
    <cellStyle name="表体文字(小) 2 41 2 5" xfId="28306"/>
    <cellStyle name="表体文字(小) 2 41 2 6" xfId="28308"/>
    <cellStyle name="表体文字(小) 2 41 2 7" xfId="28310"/>
    <cellStyle name="表体文字(小) 2 41 2 8" xfId="28312"/>
    <cellStyle name="表体文字(小) 2 41 3" xfId="28314"/>
    <cellStyle name="表体文字(小) 2 41 3 2" xfId="28316"/>
    <cellStyle name="表体文字(小) 2 41 3 3" xfId="28318"/>
    <cellStyle name="表体文字(小) 2 41 3 4" xfId="28320"/>
    <cellStyle name="表体文字(小) 2 41 3 5" xfId="28322"/>
    <cellStyle name="表体文字(小) 2 41 3 6" xfId="28324"/>
    <cellStyle name="表体文字(小) 2 41 3 7" xfId="28326"/>
    <cellStyle name="表体文字(小) 2 41 3 8" xfId="28328"/>
    <cellStyle name="表体文字(小) 2 41 4" xfId="28330"/>
    <cellStyle name="表体文字(小) 2 41 5" xfId="28332"/>
    <cellStyle name="表体文字(小) 2 41 6" xfId="28334"/>
    <cellStyle name="表体文字(小) 2 41 7" xfId="28336"/>
    <cellStyle name="表体文字(小) 2 41 8" xfId="28338"/>
    <cellStyle name="表体文字(小) 2 41 9" xfId="28340"/>
    <cellStyle name="表体文字(小) 2 42" xfId="26476"/>
    <cellStyle name="表体文字(小) 2 42 10" xfId="28342"/>
    <cellStyle name="表体文字(小) 2 42 2" xfId="28344"/>
    <cellStyle name="表体文字(小) 2 42 2 2" xfId="28346"/>
    <cellStyle name="表体文字(小) 2 42 2 3" xfId="28348"/>
    <cellStyle name="表体文字(小) 2 42 2 4" xfId="28350"/>
    <cellStyle name="表体文字(小) 2 42 2 5" xfId="28352"/>
    <cellStyle name="表体文字(小) 2 42 2 6" xfId="28354"/>
    <cellStyle name="表体文字(小) 2 42 2 7" xfId="28356"/>
    <cellStyle name="表体文字(小) 2 42 2 8" xfId="28358"/>
    <cellStyle name="表体文字(小) 2 42 3" xfId="28360"/>
    <cellStyle name="表体文字(小) 2 42 3 2" xfId="28362"/>
    <cellStyle name="表体文字(小) 2 42 3 3" xfId="28364"/>
    <cellStyle name="表体文字(小) 2 42 3 4" xfId="28366"/>
    <cellStyle name="表体文字(小) 2 42 3 5" xfId="28368"/>
    <cellStyle name="表体文字(小) 2 42 3 6" xfId="28370"/>
    <cellStyle name="表体文字(小) 2 42 3 7" xfId="11008"/>
    <cellStyle name="表体文字(小) 2 42 3 8" xfId="11032"/>
    <cellStyle name="表体文字(小) 2 42 4" xfId="28372"/>
    <cellStyle name="表体文字(小) 2 42 5" xfId="28374"/>
    <cellStyle name="表体文字(小) 2 42 6" xfId="28376"/>
    <cellStyle name="表体文字(小) 2 42 7" xfId="28378"/>
    <cellStyle name="表体文字(小) 2 42 8" xfId="28380"/>
    <cellStyle name="表体文字(小) 2 42 9" xfId="318"/>
    <cellStyle name="表体文字(小) 2 43" xfId="26480"/>
    <cellStyle name="表体文字(小) 2 43 10" xfId="24199"/>
    <cellStyle name="表体文字(小) 2 43 2" xfId="28382"/>
    <cellStyle name="表体文字(小) 2 43 2 2" xfId="13954"/>
    <cellStyle name="表体文字(小) 2 43 2 3" xfId="15102"/>
    <cellStyle name="表体文字(小) 2 43 2 4" xfId="28384"/>
    <cellStyle name="表体文字(小) 2 43 2 5" xfId="28386"/>
    <cellStyle name="表体文字(小) 2 43 2 6" xfId="28388"/>
    <cellStyle name="表体文字(小) 2 43 2 7" xfId="28390"/>
    <cellStyle name="表体文字(小) 2 43 2 8" xfId="28392"/>
    <cellStyle name="表体文字(小) 2 43 3" xfId="28394"/>
    <cellStyle name="表体文字(小) 2 43 3 2" xfId="5331"/>
    <cellStyle name="表体文字(小) 2 43 3 3" xfId="28396"/>
    <cellStyle name="表体文字(小) 2 43 3 4" xfId="28398"/>
    <cellStyle name="表体文字(小) 2 43 3 5" xfId="28400"/>
    <cellStyle name="表体文字(小) 2 43 3 6" xfId="28402"/>
    <cellStyle name="表体文字(小) 2 43 3 7" xfId="28404"/>
    <cellStyle name="表体文字(小) 2 43 3 8" xfId="28406"/>
    <cellStyle name="表体文字(小) 2 43 4" xfId="12270"/>
    <cellStyle name="表体文字(小) 2 43 5" xfId="12277"/>
    <cellStyle name="表体文字(小) 2 43 6" xfId="12280"/>
    <cellStyle name="表体文字(小) 2 43 7" xfId="12283"/>
    <cellStyle name="表体文字(小) 2 43 8" xfId="12286"/>
    <cellStyle name="表体文字(小) 2 43 9" xfId="12294"/>
    <cellStyle name="表体文字(小) 2 44" xfId="28408"/>
    <cellStyle name="表体文字(小) 2 44 10" xfId="28410"/>
    <cellStyle name="表体文字(小) 2 44 2" xfId="18006"/>
    <cellStyle name="表体文字(小) 2 44 2 2" xfId="28412"/>
    <cellStyle name="表体文字(小) 2 44 2 3" xfId="28414"/>
    <cellStyle name="表体文字(小) 2 44 2 4" xfId="28416"/>
    <cellStyle name="表体文字(小) 2 44 2 5" xfId="28418"/>
    <cellStyle name="表体文字(小) 2 44 2 6" xfId="28420"/>
    <cellStyle name="表体文字(小) 2 44 2 7" xfId="28422"/>
    <cellStyle name="表体文字(小) 2 44 2 8" xfId="28424"/>
    <cellStyle name="表体文字(小) 2 44 3" xfId="18010"/>
    <cellStyle name="表体文字(小) 2 44 3 2" xfId="28426"/>
    <cellStyle name="表体文字(小) 2 44 3 3" xfId="28428"/>
    <cellStyle name="表体文字(小) 2 44 3 4" xfId="28430"/>
    <cellStyle name="表体文字(小) 2 44 3 5" xfId="28432"/>
    <cellStyle name="表体文字(小) 2 44 3 6" xfId="28434"/>
    <cellStyle name="表体文字(小) 2 44 3 7" xfId="28436"/>
    <cellStyle name="表体文字(小) 2 44 3 8" xfId="28438"/>
    <cellStyle name="表体文字(小) 2 44 4" xfId="18014"/>
    <cellStyle name="表体文字(小) 2 44 5" xfId="18020"/>
    <cellStyle name="表体文字(小) 2 44 6" xfId="18024"/>
    <cellStyle name="表体文字(小) 2 44 7" xfId="28440"/>
    <cellStyle name="表体文字(小) 2 44 8" xfId="28442"/>
    <cellStyle name="表体文字(小) 2 44 9" xfId="28444"/>
    <cellStyle name="表体文字(小) 2 45" xfId="28468"/>
    <cellStyle name="表体文字(小) 2 45 10" xfId="28470"/>
    <cellStyle name="表体文字(小) 2 45 2" xfId="18033"/>
    <cellStyle name="表体文字(小) 2 45 2 2" xfId="28472"/>
    <cellStyle name="表体文字(小) 2 45 2 3" xfId="28474"/>
    <cellStyle name="表体文字(小) 2 45 2 4" xfId="28476"/>
    <cellStyle name="表体文字(小) 2 45 2 5" xfId="4964"/>
    <cellStyle name="表体文字(小) 2 45 2 6" xfId="4969"/>
    <cellStyle name="表体文字(小) 2 45 2 7" xfId="28478"/>
    <cellStyle name="表体文字(小) 2 45 2 8" xfId="28480"/>
    <cellStyle name="表体文字(小) 2 45 3" xfId="18037"/>
    <cellStyle name="表体文字(小) 2 45 3 2" xfId="28482"/>
    <cellStyle name="表体文字(小) 2 45 3 3" xfId="28484"/>
    <cellStyle name="表体文字(小) 2 45 3 4" xfId="28486"/>
    <cellStyle name="表体文字(小) 2 45 3 5" xfId="4974"/>
    <cellStyle name="表体文字(小) 2 45 3 6" xfId="4980"/>
    <cellStyle name="表体文字(小) 2 45 3 7" xfId="28488"/>
    <cellStyle name="表体文字(小) 2 45 3 8" xfId="28490"/>
    <cellStyle name="表体文字(小) 2 45 4" xfId="18041"/>
    <cellStyle name="表体文字(小) 2 45 5" xfId="18045"/>
    <cellStyle name="表体文字(小) 2 45 6" xfId="18049"/>
    <cellStyle name="表体文字(小) 2 45 7" xfId="28492"/>
    <cellStyle name="表体文字(小) 2 45 8" xfId="28494"/>
    <cellStyle name="表体文字(小) 2 45 9" xfId="28496"/>
    <cellStyle name="表体文字(小) 2 46" xfId="17420"/>
    <cellStyle name="表体文字(小) 2 46 10" xfId="28498"/>
    <cellStyle name="表体文字(小) 2 46 2" xfId="17423"/>
    <cellStyle name="表体文字(小) 2 46 2 2" xfId="3559"/>
    <cellStyle name="表体文字(小) 2 46 2 3" xfId="3570"/>
    <cellStyle name="表体文字(小) 2 46 2 4" xfId="3579"/>
    <cellStyle name="表体文字(小) 2 46 2 5" xfId="3587"/>
    <cellStyle name="表体文字(小) 2 46 2 6" xfId="3594"/>
    <cellStyle name="表体文字(小) 2 46 2 7" xfId="3601"/>
    <cellStyle name="表体文字(小) 2 46 2 8" xfId="3606"/>
    <cellStyle name="表体文字(小) 2 46 3" xfId="17426"/>
    <cellStyle name="表体文字(小) 2 46 3 2" xfId="28500"/>
    <cellStyle name="表体文字(小) 2 46 3 3" xfId="28502"/>
    <cellStyle name="表体文字(小) 2 46 3 4" xfId="28504"/>
    <cellStyle name="表体文字(小) 2 46 3 5" xfId="5017"/>
    <cellStyle name="表体文字(小) 2 46 3 6" xfId="5021"/>
    <cellStyle name="表体文字(小) 2 46 3 7" xfId="28506"/>
    <cellStyle name="表体文字(小) 2 46 3 8" xfId="9888"/>
    <cellStyle name="表体文字(小) 2 46 4" xfId="17429"/>
    <cellStyle name="表体文字(小) 2 46 5" xfId="17432"/>
    <cellStyle name="表体文字(小) 2 46 6" xfId="17435"/>
    <cellStyle name="表体文字(小) 2 46 7" xfId="17438"/>
    <cellStyle name="表体文字(小) 2 46 8" xfId="17441"/>
    <cellStyle name="表体文字(小) 2 46 9" xfId="28509"/>
    <cellStyle name="表体文字(小) 2 47" xfId="17444"/>
    <cellStyle name="表体文字(小) 2 47 10" xfId="28511"/>
    <cellStyle name="表体文字(小) 2 47 2" xfId="17447"/>
    <cellStyle name="表体文字(小) 2 47 2 2" xfId="28513"/>
    <cellStyle name="表体文字(小) 2 47 2 3" xfId="28515"/>
    <cellStyle name="表体文字(小) 2 47 2 4" xfId="28517"/>
    <cellStyle name="表体文字(小) 2 47 2 5" xfId="28519"/>
    <cellStyle name="表体文字(小) 2 47 2 6" xfId="28521"/>
    <cellStyle name="表体文字(小) 2 47 2 7" xfId="28523"/>
    <cellStyle name="表体文字(小) 2 47 2 8" xfId="28525"/>
    <cellStyle name="表体文字(小) 2 47 3" xfId="6742"/>
    <cellStyle name="表体文字(小) 2 47 3 2" xfId="51"/>
    <cellStyle name="表体文字(小) 2 47 3 3" xfId="6746"/>
    <cellStyle name="表体文字(小) 2 47 3 4" xfId="6824"/>
    <cellStyle name="表体文字(小) 2 47 3 5" xfId="6827"/>
    <cellStyle name="表体文字(小) 2 47 3 6" xfId="6830"/>
    <cellStyle name="表体文字(小) 2 47 3 7" xfId="6833"/>
    <cellStyle name="表体文字(小) 2 47 3 8" xfId="6836"/>
    <cellStyle name="表体文字(小) 2 47 4" xfId="6751"/>
    <cellStyle name="表体文字(小) 2 47 5" xfId="6759"/>
    <cellStyle name="表体文字(小) 2 47 6" xfId="6766"/>
    <cellStyle name="表体文字(小) 2 47 7" xfId="6776"/>
    <cellStyle name="表体文字(小) 2 47 8" xfId="6787"/>
    <cellStyle name="表体文字(小) 2 47 9" xfId="537"/>
    <cellStyle name="表体文字(小) 2 48" xfId="17450"/>
    <cellStyle name="表体文字(小) 2 48 10" xfId="24220"/>
    <cellStyle name="表体文字(小) 2 48 2" xfId="28527"/>
    <cellStyle name="表体文字(小) 2 48 2 2" xfId="28529"/>
    <cellStyle name="表体文字(小) 2 48 2 3" xfId="28531"/>
    <cellStyle name="表体文字(小) 2 48 2 4" xfId="28533"/>
    <cellStyle name="表体文字(小) 2 48 2 5" xfId="28535"/>
    <cellStyle name="表体文字(小) 2 48 2 6" xfId="28537"/>
    <cellStyle name="表体文字(小) 2 48 2 7" xfId="28539"/>
    <cellStyle name="表体文字(小) 2 48 2 8" xfId="28541"/>
    <cellStyle name="表体文字(小) 2 48 3" xfId="28543"/>
    <cellStyle name="表体文字(小) 2 48 3 2" xfId="5388"/>
    <cellStyle name="表体文字(小) 2 48 3 3" xfId="12403"/>
    <cellStyle name="表体文字(小) 2 48 3 4" xfId="12406"/>
    <cellStyle name="表体文字(小) 2 48 3 5" xfId="28547"/>
    <cellStyle name="表体文字(小) 2 48 3 6" xfId="28549"/>
    <cellStyle name="表体文字(小) 2 48 3 7" xfId="28551"/>
    <cellStyle name="表体文字(小) 2 48 3 8" xfId="28553"/>
    <cellStyle name="表体文字(小) 2 48 4" xfId="28555"/>
    <cellStyle name="表体文字(小) 2 48 5" xfId="28559"/>
    <cellStyle name="表体文字(小) 2 48 6" xfId="28563"/>
    <cellStyle name="表体文字(小) 2 48 7" xfId="28567"/>
    <cellStyle name="表体文字(小) 2 48 8" xfId="28571"/>
    <cellStyle name="表体文字(小) 2 48 9" xfId="28575"/>
    <cellStyle name="表体文字(小) 2 49" xfId="17453"/>
    <cellStyle name="表体文字(小) 2 49 10" xfId="28579"/>
    <cellStyle name="表体文字(小) 2 49 2" xfId="28581"/>
    <cellStyle name="表体文字(小) 2 49 2 2" xfId="1376"/>
    <cellStyle name="表体文字(小) 2 49 2 3" xfId="1408"/>
    <cellStyle name="表体文字(小) 2 49 2 4" xfId="1415"/>
    <cellStyle name="表体文字(小) 2 49 2 5" xfId="9438"/>
    <cellStyle name="表体文字(小) 2 49 2 6" xfId="28585"/>
    <cellStyle name="表体文字(小) 2 49 2 7" xfId="28589"/>
    <cellStyle name="表体文字(小) 2 49 2 8" xfId="28593"/>
    <cellStyle name="表体文字(小) 2 49 3" xfId="28597"/>
    <cellStyle name="表体文字(小) 2 49 3 2" xfId="28603"/>
    <cellStyle name="表体文字(小) 2 49 3 3" xfId="28607"/>
    <cellStyle name="表体文字(小) 2 49 3 4" xfId="1439"/>
    <cellStyle name="表体文字(小) 2 49 3 5" xfId="695"/>
    <cellStyle name="表体文字(小) 2 49 3 6" xfId="396"/>
    <cellStyle name="表体文字(小) 2 49 3 7" xfId="1760"/>
    <cellStyle name="表体文字(小) 2 49 3 8" xfId="1792"/>
    <cellStyle name="表体文字(小) 2 49 4" xfId="28611"/>
    <cellStyle name="表体文字(小) 2 49 5" xfId="20759"/>
    <cellStyle name="表体文字(小) 2 49 6" xfId="28617"/>
    <cellStyle name="表体文字(小) 2 49 7" xfId="28623"/>
    <cellStyle name="表体文字(小) 2 49 8" xfId="28629"/>
    <cellStyle name="表体文字(小) 2 49 9" xfId="28635"/>
    <cellStyle name="表体文字(小) 2 5" xfId="25106"/>
    <cellStyle name="表体文字(小) 2 5 10" xfId="28641"/>
    <cellStyle name="表体文字(小) 2 5 2" xfId="28642"/>
    <cellStyle name="表体文字(小) 2 5 2 2" xfId="28643"/>
    <cellStyle name="表体文字(小) 2 5 2 3" xfId="28644"/>
    <cellStyle name="表体文字(小) 2 5 2 4" xfId="28645"/>
    <cellStyle name="表体文字(小) 2 5 2 5" xfId="28646"/>
    <cellStyle name="表体文字(小) 2 5 2 6" xfId="28647"/>
    <cellStyle name="表体文字(小) 2 5 2 7" xfId="28648"/>
    <cellStyle name="表体文字(小) 2 5 2 8" xfId="28649"/>
    <cellStyle name="表体文字(小) 2 5 3" xfId="28650"/>
    <cellStyle name="表体文字(小) 2 5 3 2" xfId="28651"/>
    <cellStyle name="表体文字(小) 2 5 3 3" xfId="28652"/>
    <cellStyle name="表体文字(小) 2 5 3 4" xfId="28653"/>
    <cellStyle name="表体文字(小) 2 5 3 5" xfId="28654"/>
    <cellStyle name="表体文字(小) 2 5 3 6" xfId="28655"/>
    <cellStyle name="表体文字(小) 2 5 3 7" xfId="28656"/>
    <cellStyle name="表体文字(小) 2 5 3 8" xfId="28657"/>
    <cellStyle name="表体文字(小) 2 5 4" xfId="28658"/>
    <cellStyle name="表体文字(小) 2 5 5" xfId="28659"/>
    <cellStyle name="表体文字(小) 2 5 6" xfId="28660"/>
    <cellStyle name="表体文字(小) 2 5 7" xfId="28661"/>
    <cellStyle name="表体文字(小) 2 5 8" xfId="28662"/>
    <cellStyle name="表体文字(小) 2 5 9" xfId="28663"/>
    <cellStyle name="表体文字(小) 2 50" xfId="28469"/>
    <cellStyle name="表体文字(小) 2 50 10" xfId="28471"/>
    <cellStyle name="表体文字(小) 2 50 2" xfId="18034"/>
    <cellStyle name="表体文字(小) 2 50 2 2" xfId="28473"/>
    <cellStyle name="表体文字(小) 2 50 2 3" xfId="28475"/>
    <cellStyle name="表体文字(小) 2 50 2 4" xfId="28477"/>
    <cellStyle name="表体文字(小) 2 50 2 5" xfId="4965"/>
    <cellStyle name="表体文字(小) 2 50 2 6" xfId="4970"/>
    <cellStyle name="表体文字(小) 2 50 2 7" xfId="28479"/>
    <cellStyle name="表体文字(小) 2 50 2 8" xfId="28481"/>
    <cellStyle name="表体文字(小) 2 50 3" xfId="18038"/>
    <cellStyle name="表体文字(小) 2 50 3 2" xfId="28483"/>
    <cellStyle name="表体文字(小) 2 50 3 3" xfId="28485"/>
    <cellStyle name="表体文字(小) 2 50 3 4" xfId="28487"/>
    <cellStyle name="表体文字(小) 2 50 3 5" xfId="4975"/>
    <cellStyle name="表体文字(小) 2 50 3 6" xfId="4981"/>
    <cellStyle name="表体文字(小) 2 50 3 7" xfId="28489"/>
    <cellStyle name="表体文字(小) 2 50 3 8" xfId="28491"/>
    <cellStyle name="表体文字(小) 2 50 4" xfId="18042"/>
    <cellStyle name="表体文字(小) 2 50 5" xfId="18046"/>
    <cellStyle name="表体文字(小) 2 50 6" xfId="18050"/>
    <cellStyle name="表体文字(小) 2 50 7" xfId="28493"/>
    <cellStyle name="表体文字(小) 2 50 8" xfId="28495"/>
    <cellStyle name="表体文字(小) 2 50 9" xfId="28497"/>
    <cellStyle name="表体文字(小) 2 51" xfId="17421"/>
    <cellStyle name="表体文字(小) 2 51 10" xfId="28499"/>
    <cellStyle name="表体文字(小) 2 51 2" xfId="17424"/>
    <cellStyle name="表体文字(小) 2 51 2 2" xfId="3558"/>
    <cellStyle name="表体文字(小) 2 51 2 3" xfId="3569"/>
    <cellStyle name="表体文字(小) 2 51 2 4" xfId="3578"/>
    <cellStyle name="表体文字(小) 2 51 2 5" xfId="3586"/>
    <cellStyle name="表体文字(小) 2 51 2 6" xfId="3593"/>
    <cellStyle name="表体文字(小) 2 51 2 7" xfId="3600"/>
    <cellStyle name="表体文字(小) 2 51 2 8" xfId="3605"/>
    <cellStyle name="表体文字(小) 2 51 3" xfId="17427"/>
    <cellStyle name="表体文字(小) 2 51 3 2" xfId="28501"/>
    <cellStyle name="表体文字(小) 2 51 3 3" xfId="28503"/>
    <cellStyle name="表体文字(小) 2 51 3 4" xfId="28505"/>
    <cellStyle name="表体文字(小) 2 51 3 5" xfId="5018"/>
    <cellStyle name="表体文字(小) 2 51 3 6" xfId="5022"/>
    <cellStyle name="表体文字(小) 2 51 3 7" xfId="28507"/>
    <cellStyle name="表体文字(小) 2 51 3 8" xfId="9889"/>
    <cellStyle name="表体文字(小) 2 51 4" xfId="17430"/>
    <cellStyle name="表体文字(小) 2 51 5" xfId="17433"/>
    <cellStyle name="表体文字(小) 2 51 6" xfId="17436"/>
    <cellStyle name="表体文字(小) 2 51 7" xfId="17439"/>
    <cellStyle name="表体文字(小) 2 51 8" xfId="17442"/>
    <cellStyle name="表体文字(小) 2 51 9" xfId="28510"/>
    <cellStyle name="表体文字(小) 2 52" xfId="17445"/>
    <cellStyle name="表体文字(小) 2 52 10" xfId="28512"/>
    <cellStyle name="表体文字(小) 2 52 2" xfId="17448"/>
    <cellStyle name="表体文字(小) 2 52 2 2" xfId="28514"/>
    <cellStyle name="表体文字(小) 2 52 2 3" xfId="28516"/>
    <cellStyle name="表体文字(小) 2 52 2 4" xfId="28518"/>
    <cellStyle name="表体文字(小) 2 52 2 5" xfId="28520"/>
    <cellStyle name="表体文字(小) 2 52 2 6" xfId="28522"/>
    <cellStyle name="表体文字(小) 2 52 2 7" xfId="28524"/>
    <cellStyle name="表体文字(小) 2 52 2 8" xfId="28526"/>
    <cellStyle name="表体文字(小) 2 52 3" xfId="6743"/>
    <cellStyle name="表体文字(小) 2 52 3 2" xfId="52"/>
    <cellStyle name="表体文字(小) 2 52 3 3" xfId="6747"/>
    <cellStyle name="表体文字(小) 2 52 3 4" xfId="6825"/>
    <cellStyle name="表体文字(小) 2 52 3 5" xfId="6828"/>
    <cellStyle name="表体文字(小) 2 52 3 6" xfId="6831"/>
    <cellStyle name="表体文字(小) 2 52 3 7" xfId="6834"/>
    <cellStyle name="表体文字(小) 2 52 3 8" xfId="6837"/>
    <cellStyle name="表体文字(小) 2 52 4" xfId="6752"/>
    <cellStyle name="表体文字(小) 2 52 5" xfId="6760"/>
    <cellStyle name="表体文字(小) 2 52 6" xfId="6767"/>
    <cellStyle name="表体文字(小) 2 52 7" xfId="6777"/>
    <cellStyle name="表体文字(小) 2 52 8" xfId="6788"/>
    <cellStyle name="表体文字(小) 2 52 9" xfId="536"/>
    <cellStyle name="表体文字(小) 2 53" xfId="17451"/>
    <cellStyle name="表体文字(小) 2 53 10" xfId="24221"/>
    <cellStyle name="表体文字(小) 2 53 2" xfId="28528"/>
    <cellStyle name="表体文字(小) 2 53 2 2" xfId="28530"/>
    <cellStyle name="表体文字(小) 2 53 2 3" xfId="28532"/>
    <cellStyle name="表体文字(小) 2 53 2 4" xfId="28534"/>
    <cellStyle name="表体文字(小) 2 53 2 5" xfId="28536"/>
    <cellStyle name="表体文字(小) 2 53 2 6" xfId="28538"/>
    <cellStyle name="表体文字(小) 2 53 2 7" xfId="28540"/>
    <cellStyle name="表体文字(小) 2 53 2 8" xfId="28542"/>
    <cellStyle name="表体文字(小) 2 53 3" xfId="28544"/>
    <cellStyle name="表体文字(小) 2 53 3 2" xfId="5389"/>
    <cellStyle name="表体文字(小) 2 53 3 3" xfId="12404"/>
    <cellStyle name="表体文字(小) 2 53 3 4" xfId="12407"/>
    <cellStyle name="表体文字(小) 2 53 3 5" xfId="28548"/>
    <cellStyle name="表体文字(小) 2 53 3 6" xfId="28550"/>
    <cellStyle name="表体文字(小) 2 53 3 7" xfId="28552"/>
    <cellStyle name="表体文字(小) 2 53 3 8" xfId="28554"/>
    <cellStyle name="表体文字(小) 2 53 4" xfId="28556"/>
    <cellStyle name="表体文字(小) 2 53 5" xfId="28560"/>
    <cellStyle name="表体文字(小) 2 53 6" xfId="28564"/>
    <cellStyle name="表体文字(小) 2 53 7" xfId="28568"/>
    <cellStyle name="表体文字(小) 2 53 8" xfId="28572"/>
    <cellStyle name="表体文字(小) 2 53 9" xfId="28576"/>
    <cellStyle name="表体文字(小) 2 54" xfId="17454"/>
    <cellStyle name="表体文字(小) 2 54 10" xfId="28580"/>
    <cellStyle name="表体文字(小) 2 54 2" xfId="28582"/>
    <cellStyle name="表体文字(小) 2 54 2 2" xfId="1375"/>
    <cellStyle name="表体文字(小) 2 54 2 3" xfId="1407"/>
    <cellStyle name="表体文字(小) 2 54 2 4" xfId="1414"/>
    <cellStyle name="表体文字(小) 2 54 2 5" xfId="9439"/>
    <cellStyle name="表体文字(小) 2 54 2 6" xfId="28586"/>
    <cellStyle name="表体文字(小) 2 54 2 7" xfId="28590"/>
    <cellStyle name="表体文字(小) 2 54 2 8" xfId="28594"/>
    <cellStyle name="表体文字(小) 2 54 3" xfId="28598"/>
    <cellStyle name="表体文字(小) 2 54 3 2" xfId="28604"/>
    <cellStyle name="表体文字(小) 2 54 3 3" xfId="28608"/>
    <cellStyle name="表体文字(小) 2 54 3 4" xfId="1438"/>
    <cellStyle name="表体文字(小) 2 54 3 5" xfId="694"/>
    <cellStyle name="表体文字(小) 2 54 3 6" xfId="397"/>
    <cellStyle name="表体文字(小) 2 54 3 7" xfId="1759"/>
    <cellStyle name="表体文字(小) 2 54 3 8" xfId="1791"/>
    <cellStyle name="表体文字(小) 2 54 4" xfId="28612"/>
    <cellStyle name="表体文字(小) 2 54 5" xfId="20760"/>
    <cellStyle name="表体文字(小) 2 54 6" xfId="28618"/>
    <cellStyle name="表体文字(小) 2 54 7" xfId="28624"/>
    <cellStyle name="表体文字(小) 2 54 8" xfId="28630"/>
    <cellStyle name="表体文字(小) 2 54 9" xfId="28636"/>
    <cellStyle name="表体文字(小) 2 55" xfId="17456"/>
    <cellStyle name="表体文字(小) 2 55 10" xfId="28664"/>
    <cellStyle name="表体文字(小) 2 55 2" xfId="229"/>
    <cellStyle name="表体文字(小) 2 55 2 2" xfId="28666"/>
    <cellStyle name="表体文字(小) 2 55 2 3" xfId="28668"/>
    <cellStyle name="表体文字(小) 2 55 2 4" xfId="9477"/>
    <cellStyle name="表体文字(小) 2 55 2 5" xfId="9480"/>
    <cellStyle name="表体文字(小) 2 55 2 6" xfId="28670"/>
    <cellStyle name="表体文字(小) 2 55 2 7" xfId="28672"/>
    <cellStyle name="表体文字(小) 2 55 2 8" xfId="28674"/>
    <cellStyle name="表体文字(小) 2 55 3" xfId="28676"/>
    <cellStyle name="表体文字(小) 2 55 3 2" xfId="28678"/>
    <cellStyle name="表体文字(小) 2 55 3 3" xfId="28680"/>
    <cellStyle name="表体文字(小) 2 55 3 4" xfId="9483"/>
    <cellStyle name="表体文字(小) 2 55 3 5" xfId="9486"/>
    <cellStyle name="表体文字(小) 2 55 3 6" xfId="28682"/>
    <cellStyle name="表体文字(小) 2 55 3 7" xfId="28684"/>
    <cellStyle name="表体文字(小) 2 55 3 8" xfId="28686"/>
    <cellStyle name="表体文字(小) 2 55 4" xfId="28688"/>
    <cellStyle name="表体文字(小) 2 55 5" xfId="28690"/>
    <cellStyle name="表体文字(小) 2 55 6" xfId="28692"/>
    <cellStyle name="表体文字(小) 2 55 7" xfId="28694"/>
    <cellStyle name="表体文字(小) 2 55 8" xfId="28696"/>
    <cellStyle name="表体文字(小) 2 55 9" xfId="28698"/>
    <cellStyle name="表体文字(小) 2 56" xfId="17459"/>
    <cellStyle name="表体文字(小) 2 56 10" xfId="28700"/>
    <cellStyle name="表体文字(小) 2 56 2" xfId="28702"/>
    <cellStyle name="表体文字(小) 2 56 2 2" xfId="28704"/>
    <cellStyle name="表体文字(小) 2 56 2 3" xfId="28706"/>
    <cellStyle name="表体文字(小) 2 56 2 4" xfId="6884"/>
    <cellStyle name="表体文字(小) 2 56 2 5" xfId="6908"/>
    <cellStyle name="表体文字(小) 2 56 2 6" xfId="6911"/>
    <cellStyle name="表体文字(小) 2 56 2 7" xfId="4689"/>
    <cellStyle name="表体文字(小) 2 56 2 8" xfId="4695"/>
    <cellStyle name="表体文字(小) 2 56 3" xfId="28708"/>
    <cellStyle name="表体文字(小) 2 56 3 2" xfId="28710"/>
    <cellStyle name="表体文字(小) 2 56 3 3" xfId="28712"/>
    <cellStyle name="表体文字(小) 2 56 3 4" xfId="28714"/>
    <cellStyle name="表体文字(小) 2 56 3 5" xfId="28716"/>
    <cellStyle name="表体文字(小) 2 56 3 6" xfId="28718"/>
    <cellStyle name="表体文字(小) 2 56 3 7" xfId="28720"/>
    <cellStyle name="表体文字(小) 2 56 3 8" xfId="28722"/>
    <cellStyle name="表体文字(小) 2 56 4" xfId="28724"/>
    <cellStyle name="表体文字(小) 2 56 5" xfId="28726"/>
    <cellStyle name="表体文字(小) 2 56 6" xfId="28728"/>
    <cellStyle name="表体文字(小) 2 56 7" xfId="28730"/>
    <cellStyle name="表体文字(小) 2 56 8" xfId="28732"/>
    <cellStyle name="表体文字(小) 2 56 9" xfId="28734"/>
    <cellStyle name="表体文字(小) 2 57" xfId="17462"/>
    <cellStyle name="表体文字(小) 2 57 10" xfId="28736"/>
    <cellStyle name="表体文字(小) 2 57 2" xfId="28738"/>
    <cellStyle name="表体文字(小) 2 57 2 2" xfId="28740"/>
    <cellStyle name="表体文字(小) 2 57 2 3" xfId="28745"/>
    <cellStyle name="表体文字(小) 2 57 2 4" xfId="28749"/>
    <cellStyle name="表体文字(小) 2 57 2 5" xfId="28753"/>
    <cellStyle name="表体文字(小) 2 57 2 6" xfId="28755"/>
    <cellStyle name="表体文字(小) 2 57 2 7" xfId="28757"/>
    <cellStyle name="表体文字(小) 2 57 2 8" xfId="22931"/>
    <cellStyle name="表体文字(小) 2 57 3" xfId="28759"/>
    <cellStyle name="表体文字(小) 2 57 3 2" xfId="28761"/>
    <cellStyle name="表体文字(小) 2 57 3 3" xfId="28765"/>
    <cellStyle name="表体文字(小) 2 57 3 4" xfId="28769"/>
    <cellStyle name="表体文字(小) 2 57 3 5" xfId="28773"/>
    <cellStyle name="表体文字(小) 2 57 3 6" xfId="28775"/>
    <cellStyle name="表体文字(小) 2 57 3 7" xfId="28777"/>
    <cellStyle name="表体文字(小) 2 57 3 8" xfId="22948"/>
    <cellStyle name="表体文字(小) 2 57 4" xfId="28779"/>
    <cellStyle name="表体文字(小) 2 57 5" xfId="28781"/>
    <cellStyle name="表体文字(小) 2 57 6" xfId="28783"/>
    <cellStyle name="表体文字(小) 2 57 7" xfId="28785"/>
    <cellStyle name="表体文字(小) 2 57 8" xfId="28787"/>
    <cellStyle name="表体文字(小) 2 57 9" xfId="28789"/>
    <cellStyle name="表体文字(小) 2 58" xfId="17465"/>
    <cellStyle name="表体文字(小) 2 58 10" xfId="24236"/>
    <cellStyle name="表体文字(小) 2 58 2" xfId="28791"/>
    <cellStyle name="表体文字(小) 2 58 2 2" xfId="28793"/>
    <cellStyle name="表体文字(小) 2 58 2 3" xfId="28795"/>
    <cellStyle name="表体文字(小) 2 58 2 4" xfId="28797"/>
    <cellStyle name="表体文字(小) 2 58 2 5" xfId="28799"/>
    <cellStyle name="表体文字(小) 2 58 2 6" xfId="7621"/>
    <cellStyle name="表体文字(小) 2 58 2 7" xfId="7625"/>
    <cellStyle name="表体文字(小) 2 58 2 8" xfId="24004"/>
    <cellStyle name="表体文字(小) 2 58 3" xfId="28801"/>
    <cellStyle name="表体文字(小) 2 58 3 2" xfId="28803"/>
    <cellStyle name="表体文字(小) 2 58 3 3" xfId="28805"/>
    <cellStyle name="表体文字(小) 2 58 3 4" xfId="28807"/>
    <cellStyle name="表体文字(小) 2 58 3 5" xfId="28809"/>
    <cellStyle name="表体文字(小) 2 58 3 6" xfId="7633"/>
    <cellStyle name="表体文字(小) 2 58 3 7" xfId="7637"/>
    <cellStyle name="表体文字(小) 2 58 3 8" xfId="24073"/>
    <cellStyle name="表体文字(小) 2 58 4" xfId="28811"/>
    <cellStyle name="表体文字(小) 2 58 5" xfId="28813"/>
    <cellStyle name="表体文字(小) 2 58 6" xfId="28815"/>
    <cellStyle name="表体文字(小) 2 58 7" xfId="28817"/>
    <cellStyle name="表体文字(小) 2 58 8" xfId="28819"/>
    <cellStyle name="表体文字(小) 2 58 9" xfId="28821"/>
    <cellStyle name="表体文字(小) 2 59" xfId="28825"/>
    <cellStyle name="表体文字(小) 2 59 10" xfId="28827"/>
    <cellStyle name="表体文字(小) 2 59 2" xfId="242"/>
    <cellStyle name="表体文字(小) 2 59 2 2" xfId="28829"/>
    <cellStyle name="表体文字(小) 2 59 2 3" xfId="28831"/>
    <cellStyle name="表体文字(小) 2 59 2 4" xfId="28833"/>
    <cellStyle name="表体文字(小) 2 59 2 5" xfId="28835"/>
    <cellStyle name="表体文字(小) 2 59 2 6" xfId="7848"/>
    <cellStyle name="表体文字(小) 2 59 2 7" xfId="7852"/>
    <cellStyle name="表体文字(小) 2 59 2 8" xfId="28837"/>
    <cellStyle name="表体文字(小) 2 59 3" xfId="28839"/>
    <cellStyle name="表体文字(小) 2 59 3 2" xfId="28842"/>
    <cellStyle name="表体文字(小) 2 59 3 3" xfId="28844"/>
    <cellStyle name="表体文字(小) 2 59 3 4" xfId="28846"/>
    <cellStyle name="表体文字(小) 2 59 3 5" xfId="28848"/>
    <cellStyle name="表体文字(小) 2 59 3 6" xfId="7860"/>
    <cellStyle name="表体文字(小) 2 59 3 7" xfId="7864"/>
    <cellStyle name="表体文字(小) 2 59 3 8" xfId="28850"/>
    <cellStyle name="表体文字(小) 2 59 4" xfId="28852"/>
    <cellStyle name="表体文字(小) 2 59 5" xfId="20824"/>
    <cellStyle name="表体文字(小) 2 59 6" xfId="28854"/>
    <cellStyle name="表体文字(小) 2 59 7" xfId="28856"/>
    <cellStyle name="表体文字(小) 2 59 8" xfId="28858"/>
    <cellStyle name="表体文字(小) 2 59 9" xfId="28860"/>
    <cellStyle name="表体文字(小) 2 6" xfId="25109"/>
    <cellStyle name="表体文字(小) 2 6 10" xfId="3054"/>
    <cellStyle name="表体文字(小) 2 6 2" xfId="28864"/>
    <cellStyle name="表体文字(小) 2 6 2 2" xfId="28865"/>
    <cellStyle name="表体文字(小) 2 6 2 3" xfId="28866"/>
    <cellStyle name="表体文字(小) 2 6 2 4" xfId="28867"/>
    <cellStyle name="表体文字(小) 2 6 2 5" xfId="28868"/>
    <cellStyle name="表体文字(小) 2 6 2 6" xfId="28869"/>
    <cellStyle name="表体文字(小) 2 6 2 7" xfId="28870"/>
    <cellStyle name="表体文字(小) 2 6 2 8" xfId="28871"/>
    <cellStyle name="表体文字(小) 2 6 3" xfId="28872"/>
    <cellStyle name="表体文字(小) 2 6 3 2" xfId="28873"/>
    <cellStyle name="表体文字(小) 2 6 3 3" xfId="28874"/>
    <cellStyle name="表体文字(小) 2 6 3 4" xfId="28875"/>
    <cellStyle name="表体文字(小) 2 6 3 5" xfId="28876"/>
    <cellStyle name="表体文字(小) 2 6 3 6" xfId="28877"/>
    <cellStyle name="表体文字(小) 2 6 3 7" xfId="28878"/>
    <cellStyle name="表体文字(小) 2 6 3 8" xfId="28879"/>
    <cellStyle name="表体文字(小) 2 6 4" xfId="28880"/>
    <cellStyle name="表体文字(小) 2 6 5" xfId="28881"/>
    <cellStyle name="表体文字(小) 2 6 6" xfId="28882"/>
    <cellStyle name="表体文字(小) 2 6 7" xfId="28883"/>
    <cellStyle name="表体文字(小) 2 6 8" xfId="28884"/>
    <cellStyle name="表体文字(小) 2 6 9" xfId="28885"/>
    <cellStyle name="表体文字(小) 2 60" xfId="17457"/>
    <cellStyle name="表体文字(小) 2 60 10" xfId="28665"/>
    <cellStyle name="表体文字(小) 2 60 2" xfId="230"/>
    <cellStyle name="表体文字(小) 2 60 2 2" xfId="28667"/>
    <cellStyle name="表体文字(小) 2 60 2 3" xfId="28669"/>
    <cellStyle name="表体文字(小) 2 60 2 4" xfId="9478"/>
    <cellStyle name="表体文字(小) 2 60 2 5" xfId="9481"/>
    <cellStyle name="表体文字(小) 2 60 2 6" xfId="28671"/>
    <cellStyle name="表体文字(小) 2 60 2 7" xfId="28673"/>
    <cellStyle name="表体文字(小) 2 60 2 8" xfId="28675"/>
    <cellStyle name="表体文字(小) 2 60 3" xfId="28677"/>
    <cellStyle name="表体文字(小) 2 60 3 2" xfId="28679"/>
    <cellStyle name="表体文字(小) 2 60 3 3" xfId="28681"/>
    <cellStyle name="表体文字(小) 2 60 3 4" xfId="9484"/>
    <cellStyle name="表体文字(小) 2 60 3 5" xfId="9487"/>
    <cellStyle name="表体文字(小) 2 60 3 6" xfId="28683"/>
    <cellStyle name="表体文字(小) 2 60 3 7" xfId="28685"/>
    <cellStyle name="表体文字(小) 2 60 3 8" xfId="28687"/>
    <cellStyle name="表体文字(小) 2 60 4" xfId="28689"/>
    <cellStyle name="表体文字(小) 2 60 5" xfId="28691"/>
    <cellStyle name="表体文字(小) 2 60 6" xfId="28693"/>
    <cellStyle name="表体文字(小) 2 60 7" xfId="28695"/>
    <cellStyle name="表体文字(小) 2 60 8" xfId="28697"/>
    <cellStyle name="表体文字(小) 2 60 9" xfId="28699"/>
    <cellStyle name="表体文字(小) 2 61" xfId="17460"/>
    <cellStyle name="表体文字(小) 2 61 10" xfId="28701"/>
    <cellStyle name="表体文字(小) 2 61 2" xfId="28703"/>
    <cellStyle name="表体文字(小) 2 61 2 2" xfId="28705"/>
    <cellStyle name="表体文字(小) 2 61 2 3" xfId="28707"/>
    <cellStyle name="表体文字(小) 2 61 2 4" xfId="6885"/>
    <cellStyle name="表体文字(小) 2 61 2 5" xfId="6909"/>
    <cellStyle name="表体文字(小) 2 61 2 6" xfId="6912"/>
    <cellStyle name="表体文字(小) 2 61 2 7" xfId="4690"/>
    <cellStyle name="表体文字(小) 2 61 2 8" xfId="4696"/>
    <cellStyle name="表体文字(小) 2 61 3" xfId="28709"/>
    <cellStyle name="表体文字(小) 2 61 3 2" xfId="28711"/>
    <cellStyle name="表体文字(小) 2 61 3 3" xfId="28713"/>
    <cellStyle name="表体文字(小) 2 61 3 4" xfId="28715"/>
    <cellStyle name="表体文字(小) 2 61 3 5" xfId="28717"/>
    <cellStyle name="表体文字(小) 2 61 3 6" xfId="28719"/>
    <cellStyle name="表体文字(小) 2 61 3 7" xfId="28721"/>
    <cellStyle name="表体文字(小) 2 61 3 8" xfId="28723"/>
    <cellStyle name="表体文字(小) 2 61 4" xfId="28725"/>
    <cellStyle name="表体文字(小) 2 61 5" xfId="28727"/>
    <cellStyle name="表体文字(小) 2 61 6" xfId="28729"/>
    <cellStyle name="表体文字(小) 2 61 7" xfId="28731"/>
    <cellStyle name="表体文字(小) 2 61 8" xfId="28733"/>
    <cellStyle name="表体文字(小) 2 61 9" xfId="28735"/>
    <cellStyle name="表体文字(小) 2 62" xfId="17463"/>
    <cellStyle name="表体文字(小) 2 62 10" xfId="28737"/>
    <cellStyle name="表体文字(小) 2 62 2" xfId="28739"/>
    <cellStyle name="表体文字(小) 2 62 2 2" xfId="28741"/>
    <cellStyle name="表体文字(小) 2 62 2 3" xfId="28746"/>
    <cellStyle name="表体文字(小) 2 62 2 4" xfId="28750"/>
    <cellStyle name="表体文字(小) 2 62 2 5" xfId="28754"/>
    <cellStyle name="表体文字(小) 2 62 2 6" xfId="28756"/>
    <cellStyle name="表体文字(小) 2 62 2 7" xfId="28758"/>
    <cellStyle name="表体文字(小) 2 62 2 8" xfId="22932"/>
    <cellStyle name="表体文字(小) 2 62 3" xfId="28760"/>
    <cellStyle name="表体文字(小) 2 62 3 2" xfId="28762"/>
    <cellStyle name="表体文字(小) 2 62 3 3" xfId="28766"/>
    <cellStyle name="表体文字(小) 2 62 3 4" xfId="28770"/>
    <cellStyle name="表体文字(小) 2 62 3 5" xfId="28774"/>
    <cellStyle name="表体文字(小) 2 62 3 6" xfId="28776"/>
    <cellStyle name="表体文字(小) 2 62 3 7" xfId="28778"/>
    <cellStyle name="表体文字(小) 2 62 3 8" xfId="22949"/>
    <cellStyle name="表体文字(小) 2 62 4" xfId="28780"/>
    <cellStyle name="表体文字(小) 2 62 5" xfId="28782"/>
    <cellStyle name="表体文字(小) 2 62 6" xfId="28784"/>
    <cellStyle name="表体文字(小) 2 62 7" xfId="28786"/>
    <cellStyle name="表体文字(小) 2 62 8" xfId="28788"/>
    <cellStyle name="表体文字(小) 2 62 9" xfId="28790"/>
    <cellStyle name="表体文字(小) 2 63" xfId="17466"/>
    <cellStyle name="表体文字(小) 2 63 10" xfId="24237"/>
    <cellStyle name="表体文字(小) 2 63 2" xfId="28792"/>
    <cellStyle name="表体文字(小) 2 63 2 2" xfId="28794"/>
    <cellStyle name="表体文字(小) 2 63 2 3" xfId="28796"/>
    <cellStyle name="表体文字(小) 2 63 2 4" xfId="28798"/>
    <cellStyle name="表体文字(小) 2 63 2 5" xfId="28800"/>
    <cellStyle name="表体文字(小) 2 63 2 6" xfId="7622"/>
    <cellStyle name="表体文字(小) 2 63 2 7" xfId="7626"/>
    <cellStyle name="表体文字(小) 2 63 2 8" xfId="24005"/>
    <cellStyle name="表体文字(小) 2 63 3" xfId="28802"/>
    <cellStyle name="表体文字(小) 2 63 3 2" xfId="28804"/>
    <cellStyle name="表体文字(小) 2 63 3 3" xfId="28806"/>
    <cellStyle name="表体文字(小) 2 63 3 4" xfId="28808"/>
    <cellStyle name="表体文字(小) 2 63 3 5" xfId="28810"/>
    <cellStyle name="表体文字(小) 2 63 3 6" xfId="7634"/>
    <cellStyle name="表体文字(小) 2 63 3 7" xfId="7638"/>
    <cellStyle name="表体文字(小) 2 63 3 8" xfId="24074"/>
    <cellStyle name="表体文字(小) 2 63 4" xfId="28812"/>
    <cellStyle name="表体文字(小) 2 63 5" xfId="28814"/>
    <cellStyle name="表体文字(小) 2 63 6" xfId="28816"/>
    <cellStyle name="表体文字(小) 2 63 7" xfId="28818"/>
    <cellStyle name="表体文字(小) 2 63 8" xfId="28820"/>
    <cellStyle name="表体文字(小) 2 63 9" xfId="28822"/>
    <cellStyle name="表体文字(小) 2 64" xfId="28826"/>
    <cellStyle name="表体文字(小) 2 64 10" xfId="28828"/>
    <cellStyle name="表体文字(小) 2 64 2" xfId="243"/>
    <cellStyle name="表体文字(小) 2 64 2 2" xfId="28830"/>
    <cellStyle name="表体文字(小) 2 64 2 3" xfId="28832"/>
    <cellStyle name="表体文字(小) 2 64 2 4" xfId="28834"/>
    <cellStyle name="表体文字(小) 2 64 2 5" xfId="28836"/>
    <cellStyle name="表体文字(小) 2 64 2 6" xfId="7849"/>
    <cellStyle name="表体文字(小) 2 64 2 7" xfId="7853"/>
    <cellStyle name="表体文字(小) 2 64 2 8" xfId="28838"/>
    <cellStyle name="表体文字(小) 2 64 3" xfId="28840"/>
    <cellStyle name="表体文字(小) 2 64 3 2" xfId="28843"/>
    <cellStyle name="表体文字(小) 2 64 3 3" xfId="28845"/>
    <cellStyle name="表体文字(小) 2 64 3 4" xfId="28847"/>
    <cellStyle name="表体文字(小) 2 64 3 5" xfId="28849"/>
    <cellStyle name="表体文字(小) 2 64 3 6" xfId="7861"/>
    <cellStyle name="表体文字(小) 2 64 3 7" xfId="7865"/>
    <cellStyle name="表体文字(小) 2 64 3 8" xfId="28851"/>
    <cellStyle name="表体文字(小) 2 64 4" xfId="28853"/>
    <cellStyle name="表体文字(小) 2 64 5" xfId="20825"/>
    <cellStyle name="表体文字(小) 2 64 6" xfId="28855"/>
    <cellStyle name="表体文字(小) 2 64 7" xfId="28857"/>
    <cellStyle name="表体文字(小) 2 64 8" xfId="28859"/>
    <cellStyle name="表体文字(小) 2 64 9" xfId="28861"/>
    <cellStyle name="表体文字(小) 2 65" xfId="28886"/>
    <cellStyle name="表体文字(小) 2 65 10" xfId="28888"/>
    <cellStyle name="表体文字(小) 2 65 2" xfId="28889"/>
    <cellStyle name="表体文字(小) 2 65 2 2" xfId="28891"/>
    <cellStyle name="表体文字(小) 2 65 2 3" xfId="28892"/>
    <cellStyle name="表体文字(小) 2 65 2 4" xfId="175"/>
    <cellStyle name="表体文字(小) 2 65 2 5" xfId="179"/>
    <cellStyle name="表体文字(小) 2 65 2 6" xfId="18"/>
    <cellStyle name="表体文字(小) 2 65 2 7" xfId="191"/>
    <cellStyle name="表体文字(小) 2 65 2 8" xfId="199"/>
    <cellStyle name="表体文字(小) 2 65 3" xfId="28893"/>
    <cellStyle name="表体文字(小) 2 65 3 2" xfId="28895"/>
    <cellStyle name="表体文字(小) 2 65 3 3" xfId="28896"/>
    <cellStyle name="表体文字(小) 2 65 3 4" xfId="28897"/>
    <cellStyle name="表体文字(小) 2 65 3 5" xfId="28898"/>
    <cellStyle name="表体文字(小) 2 65 3 6" xfId="28899"/>
    <cellStyle name="表体文字(小) 2 65 3 7" xfId="28900"/>
    <cellStyle name="表体文字(小) 2 65 3 8" xfId="28901"/>
    <cellStyle name="表体文字(小) 2 65 4" xfId="28902"/>
    <cellStyle name="表体文字(小) 2 65 5" xfId="28903"/>
    <cellStyle name="表体文字(小) 2 65 6" xfId="28904"/>
    <cellStyle name="表体文字(小) 2 65 7" xfId="28905"/>
    <cellStyle name="表体文字(小) 2 65 8" xfId="28906"/>
    <cellStyle name="表体文字(小) 2 65 9" xfId="28907"/>
    <cellStyle name="表体文字(小) 2 66" xfId="28908"/>
    <cellStyle name="表体文字(小) 2 66 2" xfId="4054"/>
    <cellStyle name="表体文字(小) 2 66 3" xfId="4063"/>
    <cellStyle name="表体文字(小) 2 66 4" xfId="4075"/>
    <cellStyle name="表体文字(小) 2 66 5" xfId="4079"/>
    <cellStyle name="表体文字(小) 2 66 6" xfId="4083"/>
    <cellStyle name="表体文字(小) 2 66 7" xfId="4123"/>
    <cellStyle name="表体文字(小) 2 66 8" xfId="4128"/>
    <cellStyle name="表体文字(小) 2 67" xfId="28911"/>
    <cellStyle name="表体文字(小) 2 67 2" xfId="22674"/>
    <cellStyle name="表体文字(小) 2 67 3" xfId="22677"/>
    <cellStyle name="表体文字(小) 2 67 4" xfId="22680"/>
    <cellStyle name="表体文字(小) 2 67 5" xfId="22682"/>
    <cellStyle name="表体文字(小) 2 67 6" xfId="22684"/>
    <cellStyle name="表体文字(小) 2 67 7" xfId="28914"/>
    <cellStyle name="表体文字(小) 2 67 8" xfId="28915"/>
    <cellStyle name="表体文字(小) 2 68" xfId="28916"/>
    <cellStyle name="表体文字(小) 2 69" xfId="28919"/>
    <cellStyle name="表体文字(小) 2 7" xfId="28922"/>
    <cellStyle name="表体文字(小) 2 7 10" xfId="28923"/>
    <cellStyle name="表体文字(小) 2 7 2" xfId="28924"/>
    <cellStyle name="表体文字(小) 2 7 2 2" xfId="28925"/>
    <cellStyle name="表体文字(小) 2 7 2 3" xfId="28926"/>
    <cellStyle name="表体文字(小) 2 7 2 4" xfId="28927"/>
    <cellStyle name="表体文字(小) 2 7 2 5" xfId="28928"/>
    <cellStyle name="表体文字(小) 2 7 2 6" xfId="28929"/>
    <cellStyle name="表体文字(小) 2 7 2 7" xfId="28930"/>
    <cellStyle name="表体文字(小) 2 7 2 8" xfId="28931"/>
    <cellStyle name="表体文字(小) 2 7 3" xfId="28932"/>
    <cellStyle name="表体文字(小) 2 7 3 2" xfId="28933"/>
    <cellStyle name="表体文字(小) 2 7 3 3" xfId="28934"/>
    <cellStyle name="表体文字(小) 2 7 3 4" xfId="28935"/>
    <cellStyle name="表体文字(小) 2 7 3 5" xfId="28936"/>
    <cellStyle name="表体文字(小) 2 7 3 6" xfId="28937"/>
    <cellStyle name="表体文字(小) 2 7 3 7" xfId="28938"/>
    <cellStyle name="表体文字(小) 2 7 3 8" xfId="28939"/>
    <cellStyle name="表体文字(小) 2 7 4" xfId="28940"/>
    <cellStyle name="表体文字(小) 2 7 5" xfId="28941"/>
    <cellStyle name="表体文字(小) 2 7 6" xfId="28942"/>
    <cellStyle name="表体文字(小) 2 7 7" xfId="22400"/>
    <cellStyle name="表体文字(小) 2 7 8" xfId="22912"/>
    <cellStyle name="表体文字(小) 2 7 9" xfId="22914"/>
    <cellStyle name="表体文字(小) 2 70" xfId="28887"/>
    <cellStyle name="表体文字(小) 2 71" xfId="28909"/>
    <cellStyle name="表体文字(小) 2 72" xfId="28912"/>
    <cellStyle name="表体文字(小) 2 73" xfId="28917"/>
    <cellStyle name="表体文字(小) 2 74" xfId="28920"/>
    <cellStyle name="表体文字(小) 2 8" xfId="28943"/>
    <cellStyle name="表体文字(小) 2 8 10" xfId="6845"/>
    <cellStyle name="表体文字(小) 2 8 2" xfId="15395"/>
    <cellStyle name="表体文字(小) 2 8 2 2" xfId="28944"/>
    <cellStyle name="表体文字(小) 2 8 2 3" xfId="28945"/>
    <cellStyle name="表体文字(小) 2 8 2 4" xfId="28946"/>
    <cellStyle name="表体文字(小) 2 8 2 5" xfId="28947"/>
    <cellStyle name="表体文字(小) 2 8 2 6" xfId="28948"/>
    <cellStyle name="表体文字(小) 2 8 2 7" xfId="28949"/>
    <cellStyle name="表体文字(小) 2 8 2 8" xfId="28950"/>
    <cellStyle name="表体文字(小) 2 8 3" xfId="28951"/>
    <cellStyle name="表体文字(小) 2 8 3 2" xfId="6326"/>
    <cellStyle name="表体文字(小) 2 8 3 3" xfId="805"/>
    <cellStyle name="表体文字(小) 2 8 3 4" xfId="868"/>
    <cellStyle name="表体文字(小) 2 8 3 5" xfId="28952"/>
    <cellStyle name="表体文字(小) 2 8 3 6" xfId="28953"/>
    <cellStyle name="表体文字(小) 2 8 3 7" xfId="28954"/>
    <cellStyle name="表体文字(小) 2 8 3 8" xfId="28955"/>
    <cellStyle name="表体文字(小) 2 8 4" xfId="28956"/>
    <cellStyle name="表体文字(小) 2 8 5" xfId="17418"/>
    <cellStyle name="表体文字(小) 2 8 6" xfId="25341"/>
    <cellStyle name="表体文字(小) 2 8 7" xfId="25343"/>
    <cellStyle name="表体文字(小) 2 8 8" xfId="22919"/>
    <cellStyle name="表体文字(小) 2 8 9" xfId="22922"/>
    <cellStyle name="表体文字(小) 2 9" xfId="26437"/>
    <cellStyle name="表体文字(小) 2 9 10" xfId="28957"/>
    <cellStyle name="表体文字(小) 2 9 2" xfId="28958"/>
    <cellStyle name="表体文字(小) 2 9 2 2" xfId="28959"/>
    <cellStyle name="表体文字(小) 2 9 2 3" xfId="28960"/>
    <cellStyle name="表体文字(小) 2 9 2 4" xfId="28961"/>
    <cellStyle name="表体文字(小) 2 9 2 5" xfId="28962"/>
    <cellStyle name="表体文字(小) 2 9 2 6" xfId="28963"/>
    <cellStyle name="表体文字(小) 2 9 2 7" xfId="28964"/>
    <cellStyle name="表体文字(小) 2 9 2 8" xfId="28965"/>
    <cellStyle name="表体文字(小) 2 9 3" xfId="6383"/>
    <cellStyle name="表体文字(小) 2 9 3 2" xfId="28966"/>
    <cellStyle name="表体文字(小) 2 9 3 3" xfId="28967"/>
    <cellStyle name="表体文字(小) 2 9 3 4" xfId="28968"/>
    <cellStyle name="表体文字(小) 2 9 3 5" xfId="28969"/>
    <cellStyle name="表体文字(小) 2 9 3 6" xfId="28970"/>
    <cellStyle name="表体文字(小) 2 9 3 7" xfId="28971"/>
    <cellStyle name="表体文字(小) 2 9 3 8" xfId="28972"/>
    <cellStyle name="表体文字(小) 2 9 4" xfId="28973"/>
    <cellStyle name="表体文字(小) 2 9 5" xfId="25347"/>
    <cellStyle name="表体文字(小) 2 9 6" xfId="25356"/>
    <cellStyle name="表体文字(小) 2 9 7" xfId="25365"/>
    <cellStyle name="表体文字(小) 2 9 8" xfId="25367"/>
    <cellStyle name="表体文字(小) 2 9 9" xfId="25369"/>
    <cellStyle name="表体文字(小) 20" xfId="26526"/>
    <cellStyle name="表体文字(小) 20 10" xfId="27519"/>
    <cellStyle name="表体文字(小) 20 2" xfId="27521"/>
    <cellStyle name="表体文字(小) 20 2 2" xfId="27523"/>
    <cellStyle name="表体文字(小) 20 2 3" xfId="27525"/>
    <cellStyle name="表体文字(小) 20 2 4" xfId="27527"/>
    <cellStyle name="表体文字(小) 20 2 5" xfId="27529"/>
    <cellStyle name="表体文字(小) 20 2 6" xfId="27531"/>
    <cellStyle name="表体文字(小) 20 2 7" xfId="27533"/>
    <cellStyle name="表体文字(小) 20 2 8" xfId="27535"/>
    <cellStyle name="表体文字(小) 20 3" xfId="27537"/>
    <cellStyle name="表体文字(小) 20 3 2" xfId="27539"/>
    <cellStyle name="表体文字(小) 20 3 3" xfId="27541"/>
    <cellStyle name="表体文字(小) 20 3 4" xfId="27543"/>
    <cellStyle name="表体文字(小) 20 3 5" xfId="27545"/>
    <cellStyle name="表体文字(小) 20 3 6" xfId="27547"/>
    <cellStyle name="表体文字(小) 20 3 7" xfId="27549"/>
    <cellStyle name="表体文字(小) 20 3 8" xfId="27551"/>
    <cellStyle name="表体文字(小) 20 4" xfId="27553"/>
    <cellStyle name="表体文字(小) 20 5" xfId="27555"/>
    <cellStyle name="表体文字(小) 20 6" xfId="27557"/>
    <cellStyle name="表体文字(小) 20 7" xfId="27559"/>
    <cellStyle name="表体文字(小) 20 8" xfId="1464"/>
    <cellStyle name="表体文字(小) 20 9" xfId="1572"/>
    <cellStyle name="表体文字(小) 21" xfId="26529"/>
    <cellStyle name="表体文字(小) 21 10" xfId="27561"/>
    <cellStyle name="表体文字(小) 21 2" xfId="27565"/>
    <cellStyle name="表体文字(小) 21 2 2" xfId="27567"/>
    <cellStyle name="表体文字(小) 21 2 3" xfId="27569"/>
    <cellStyle name="表体文字(小) 21 2 4" xfId="27571"/>
    <cellStyle name="表体文字(小) 21 2 5" xfId="27573"/>
    <cellStyle name="表体文字(小) 21 2 6" xfId="27575"/>
    <cellStyle name="表体文字(小) 21 2 7" xfId="27577"/>
    <cellStyle name="表体文字(小) 21 2 8" xfId="27579"/>
    <cellStyle name="表体文字(小) 21 3" xfId="27582"/>
    <cellStyle name="表体文字(小) 21 3 2" xfId="27584"/>
    <cellStyle name="表体文字(小) 21 3 3" xfId="27588"/>
    <cellStyle name="表体文字(小) 21 3 4" xfId="27592"/>
    <cellStyle name="表体文字(小) 21 3 5" xfId="27596"/>
    <cellStyle name="表体文字(小) 21 3 6" xfId="27600"/>
    <cellStyle name="表体文字(小) 21 3 7" xfId="27604"/>
    <cellStyle name="表体文字(小) 21 3 8" xfId="27608"/>
    <cellStyle name="表体文字(小) 21 4" xfId="27612"/>
    <cellStyle name="表体文字(小) 21 5" xfId="27614"/>
    <cellStyle name="表体文字(小) 21 6" xfId="27616"/>
    <cellStyle name="表体文字(小) 21 7" xfId="27618"/>
    <cellStyle name="表体文字(小) 21 8" xfId="27620"/>
    <cellStyle name="表体文字(小) 21 9" xfId="27622"/>
    <cellStyle name="表体文字(小) 22" xfId="26532"/>
    <cellStyle name="表体文字(小) 22 10" xfId="27624"/>
    <cellStyle name="表体文字(小) 22 2" xfId="27626"/>
    <cellStyle name="表体文字(小) 22 2 2" xfId="27628"/>
    <cellStyle name="表体文字(小) 22 2 3" xfId="27632"/>
    <cellStyle name="表体文字(小) 22 2 4" xfId="27636"/>
    <cellStyle name="表体文字(小) 22 2 5" xfId="27640"/>
    <cellStyle name="表体文字(小) 22 2 6" xfId="27644"/>
    <cellStyle name="表体文字(小) 22 2 7" xfId="27648"/>
    <cellStyle name="表体文字(小) 22 2 8" xfId="27652"/>
    <cellStyle name="表体文字(小) 22 3" xfId="27655"/>
    <cellStyle name="表体文字(小) 22 3 2" xfId="27657"/>
    <cellStyle name="表体文字(小) 22 3 3" xfId="27661"/>
    <cellStyle name="表体文字(小) 22 3 4" xfId="27665"/>
    <cellStyle name="表体文字(小) 22 3 5" xfId="27669"/>
    <cellStyle name="表体文字(小) 22 3 6" xfId="27673"/>
    <cellStyle name="表体文字(小) 22 3 7" xfId="27677"/>
    <cellStyle name="表体文字(小) 22 3 8" xfId="27681"/>
    <cellStyle name="表体文字(小) 22 4" xfId="27683"/>
    <cellStyle name="表体文字(小) 22 5" xfId="27685"/>
    <cellStyle name="表体文字(小) 22 6" xfId="27687"/>
    <cellStyle name="表体文字(小) 22 7" xfId="27689"/>
    <cellStyle name="表体文字(小) 22 8" xfId="27691"/>
    <cellStyle name="表体文字(小) 22 9" xfId="27693"/>
    <cellStyle name="表体文字(小) 23" xfId="26535"/>
    <cellStyle name="表体文字(小) 23 10" xfId="23002"/>
    <cellStyle name="表体文字(小) 23 2" xfId="27696"/>
    <cellStyle name="表体文字(小) 23 2 2" xfId="27698"/>
    <cellStyle name="表体文字(小) 23 2 3" xfId="27700"/>
    <cellStyle name="表体文字(小) 23 2 4" xfId="27702"/>
    <cellStyle name="表体文字(小) 23 2 5" xfId="27704"/>
    <cellStyle name="表体文字(小) 23 2 6" xfId="27706"/>
    <cellStyle name="表体文字(小) 23 2 7" xfId="27708"/>
    <cellStyle name="表体文字(小) 23 2 8" xfId="27710"/>
    <cellStyle name="表体文字(小) 23 3" xfId="27712"/>
    <cellStyle name="表体文字(小) 23 3 2" xfId="27714"/>
    <cellStyle name="表体文字(小) 23 3 3" xfId="27716"/>
    <cellStyle name="表体文字(小) 23 3 4" xfId="27718"/>
    <cellStyle name="表体文字(小) 23 3 5" xfId="27720"/>
    <cellStyle name="表体文字(小) 23 3 6" xfId="27722"/>
    <cellStyle name="表体文字(小) 23 3 7" xfId="27725"/>
    <cellStyle name="表体文字(小) 23 3 8" xfId="27727"/>
    <cellStyle name="表体文字(小) 23 4" xfId="27729"/>
    <cellStyle name="表体文字(小) 23 5" xfId="27731"/>
    <cellStyle name="表体文字(小) 23 6" xfId="27733"/>
    <cellStyle name="表体文字(小) 23 7" xfId="27735"/>
    <cellStyle name="表体文字(小) 23 8" xfId="27737"/>
    <cellStyle name="表体文字(小) 23 9" xfId="27739"/>
    <cellStyle name="表体文字(小) 24" xfId="27741"/>
    <cellStyle name="表体文字(小) 24 10" xfId="15133"/>
    <cellStyle name="表体文字(小) 24 2" xfId="27743"/>
    <cellStyle name="表体文字(小) 24 2 2" xfId="27745"/>
    <cellStyle name="表体文字(小) 24 2 3" xfId="11695"/>
    <cellStyle name="表体文字(小) 24 2 4" xfId="11699"/>
    <cellStyle name="表体文字(小) 24 2 5" xfId="20160"/>
    <cellStyle name="表体文字(小) 24 2 6" xfId="20186"/>
    <cellStyle name="表体文字(小) 24 2 7" xfId="20205"/>
    <cellStyle name="表体文字(小) 24 2 8" xfId="20210"/>
    <cellStyle name="表体文字(小) 24 3" xfId="27747"/>
    <cellStyle name="表体文字(小) 24 3 2" xfId="27751"/>
    <cellStyle name="表体文字(小) 24 3 3" xfId="11709"/>
    <cellStyle name="表体文字(小) 24 3 4" xfId="11715"/>
    <cellStyle name="表体文字(小) 24 3 5" xfId="20229"/>
    <cellStyle name="表体文字(小) 24 3 6" xfId="20245"/>
    <cellStyle name="表体文字(小) 24 3 7" xfId="20262"/>
    <cellStyle name="表体文字(小) 24 3 8" xfId="20269"/>
    <cellStyle name="表体文字(小) 24 4" xfId="27753"/>
    <cellStyle name="表体文字(小) 24 5" xfId="27755"/>
    <cellStyle name="表体文字(小) 24 6" xfId="27757"/>
    <cellStyle name="表体文字(小) 24 7" xfId="27759"/>
    <cellStyle name="表体文字(小) 24 8" xfId="27761"/>
    <cellStyle name="表体文字(小) 24 9" xfId="27763"/>
    <cellStyle name="表体文字(小) 25" xfId="25793"/>
    <cellStyle name="表体文字(小) 25 10" xfId="28974"/>
    <cellStyle name="表体文字(小) 25 2" xfId="28976"/>
    <cellStyle name="表体文字(小) 25 2 2" xfId="28978"/>
    <cellStyle name="表体文字(小) 25 2 3" xfId="11748"/>
    <cellStyle name="表体文字(小) 25 2 4" xfId="11751"/>
    <cellStyle name="表体文字(小) 25 2 5" xfId="21316"/>
    <cellStyle name="表体文字(小) 25 2 6" xfId="21319"/>
    <cellStyle name="表体文字(小) 25 2 7" xfId="21322"/>
    <cellStyle name="表体文字(小) 25 2 8" xfId="21325"/>
    <cellStyle name="表体文字(小) 25 3" xfId="28980"/>
    <cellStyle name="表体文字(小) 25 3 2" xfId="28982"/>
    <cellStyle name="表体文字(小) 25 3 3" xfId="11758"/>
    <cellStyle name="表体文字(小) 25 3 4" xfId="11761"/>
    <cellStyle name="表体文字(小) 25 3 5" xfId="28984"/>
    <cellStyle name="表体文字(小) 25 3 6" xfId="28986"/>
    <cellStyle name="表体文字(小) 25 3 7" xfId="28988"/>
    <cellStyle name="表体文字(小) 25 3 8" xfId="28990"/>
    <cellStyle name="表体文字(小) 25 4" xfId="28992"/>
    <cellStyle name="表体文字(小) 25 5" xfId="28994"/>
    <cellStyle name="表体文字(小) 25 6" xfId="28996"/>
    <cellStyle name="表体文字(小) 25 7" xfId="28742"/>
    <cellStyle name="表体文字(小) 25 8" xfId="28747"/>
    <cellStyle name="表体文字(小) 25 9" xfId="28751"/>
    <cellStyle name="表体文字(小) 26" xfId="4339"/>
    <cellStyle name="表体文字(小) 26 10" xfId="28998"/>
    <cellStyle name="表体文字(小) 26 2" xfId="21874"/>
    <cellStyle name="表体文字(小) 26 2 2" xfId="29002"/>
    <cellStyle name="表体文字(小) 26 2 3" xfId="24350"/>
    <cellStyle name="表体文字(小) 26 2 4" xfId="24366"/>
    <cellStyle name="表体文字(小) 26 2 5" xfId="24382"/>
    <cellStyle name="表体文字(小) 26 2 6" xfId="24386"/>
    <cellStyle name="表体文字(小) 26 2 7" xfId="24390"/>
    <cellStyle name="表体文字(小) 26 2 8" xfId="24394"/>
    <cellStyle name="表体文字(小) 26 3" xfId="21878"/>
    <cellStyle name="表体文字(小) 26 3 2" xfId="29004"/>
    <cellStyle name="表体文字(小) 26 3 3" xfId="24402"/>
    <cellStyle name="表体文字(小) 26 3 4" xfId="24421"/>
    <cellStyle name="表体文字(小) 26 3 5" xfId="24439"/>
    <cellStyle name="表体文字(小) 26 3 6" xfId="24443"/>
    <cellStyle name="表体文字(小) 26 3 7" xfId="24447"/>
    <cellStyle name="表体文字(小) 26 3 8" xfId="24451"/>
    <cellStyle name="表体文字(小) 26 4" xfId="21882"/>
    <cellStyle name="表体文字(小) 26 5" xfId="21886"/>
    <cellStyle name="表体文字(小) 26 6" xfId="21890"/>
    <cellStyle name="表体文字(小) 26 7" xfId="28763"/>
    <cellStyle name="表体文字(小) 26 8" xfId="28767"/>
    <cellStyle name="表体文字(小) 26 9" xfId="28771"/>
    <cellStyle name="表体文字(小) 27" xfId="4342"/>
    <cellStyle name="表体文字(小) 27 10" xfId="29006"/>
    <cellStyle name="表体文字(小) 27 2" xfId="21913"/>
    <cellStyle name="表体文字(小) 27 2 2" xfId="29008"/>
    <cellStyle name="表体文字(小) 27 2 3" xfId="29010"/>
    <cellStyle name="表体文字(小) 27 2 4" xfId="29012"/>
    <cellStyle name="表体文字(小) 27 2 5" xfId="29014"/>
    <cellStyle name="表体文字(小) 27 2 6" xfId="29016"/>
    <cellStyle name="表体文字(小) 27 2 7" xfId="29018"/>
    <cellStyle name="表体文字(小) 27 2 8" xfId="29020"/>
    <cellStyle name="表体文字(小) 27 3" xfId="21921"/>
    <cellStyle name="表体文字(小) 27 3 2" xfId="29022"/>
    <cellStyle name="表体文字(小) 27 3 3" xfId="29024"/>
    <cellStyle name="表体文字(小) 27 3 4" xfId="27562"/>
    <cellStyle name="表体文字(小) 27 3 5" xfId="29026"/>
    <cellStyle name="表体文字(小) 27 3 6" xfId="29028"/>
    <cellStyle name="表体文字(小) 27 3 7" xfId="29030"/>
    <cellStyle name="表体文字(小) 27 3 8" xfId="29032"/>
    <cellStyle name="表体文字(小) 27 4" xfId="21927"/>
    <cellStyle name="表体文字(小) 27 5" xfId="21933"/>
    <cellStyle name="表体文字(小) 27 6" xfId="21937"/>
    <cellStyle name="表体文字(小) 27 7" xfId="29034"/>
    <cellStyle name="表体文字(小) 27 8" xfId="29036"/>
    <cellStyle name="表体文字(小) 27 9" xfId="29038"/>
    <cellStyle name="表体文字(小) 28" xfId="27931"/>
    <cellStyle name="表体文字(小) 28 10" xfId="23034"/>
    <cellStyle name="表体文字(小) 28 2" xfId="23971"/>
    <cellStyle name="表体文字(小) 28 2 2" xfId="29040"/>
    <cellStyle name="表体文字(小) 28 2 3" xfId="29042"/>
    <cellStyle name="表体文字(小) 28 2 4" xfId="29044"/>
    <cellStyle name="表体文字(小) 28 2 5" xfId="29046"/>
    <cellStyle name="表体文字(小) 28 2 6" xfId="29048"/>
    <cellStyle name="表体文字(小) 28 2 7" xfId="29050"/>
    <cellStyle name="表体文字(小) 28 2 8" xfId="29052"/>
    <cellStyle name="表体文字(小) 28 3" xfId="23975"/>
    <cellStyle name="表体文字(小) 28 3 2" xfId="29054"/>
    <cellStyle name="表体文字(小) 28 3 3" xfId="29056"/>
    <cellStyle name="表体文字(小) 28 3 4" xfId="29000"/>
    <cellStyle name="表体文字(小) 28 3 5" xfId="29058"/>
    <cellStyle name="表体文字(小) 28 3 6" xfId="29060"/>
    <cellStyle name="表体文字(小) 28 3 7" xfId="29062"/>
    <cellStyle name="表体文字(小) 28 3 8" xfId="29064"/>
    <cellStyle name="表体文字(小) 28 4" xfId="29066"/>
    <cellStyle name="表体文字(小) 28 5" xfId="29068"/>
    <cellStyle name="表体文字(小) 28 6" xfId="29070"/>
    <cellStyle name="表体文字(小) 28 7" xfId="29072"/>
    <cellStyle name="表体文字(小) 28 8" xfId="29074"/>
    <cellStyle name="表体文字(小) 28 9" xfId="29076"/>
    <cellStyle name="表体文字(小) 29" xfId="27935"/>
    <cellStyle name="表体文字(小) 29 10" xfId="8586"/>
    <cellStyle name="表体文字(小) 29 2" xfId="29078"/>
    <cellStyle name="表体文字(小) 29 2 2" xfId="11627"/>
    <cellStyle name="表体文字(小) 29 2 3" xfId="29080"/>
    <cellStyle name="表体文字(小) 29 2 4" xfId="29082"/>
    <cellStyle name="表体文字(小) 29 2 5" xfId="29084"/>
    <cellStyle name="表体文字(小) 29 2 6" xfId="29086"/>
    <cellStyle name="表体文字(小) 29 2 7" xfId="29088"/>
    <cellStyle name="表体文字(小) 29 2 8" xfId="29090"/>
    <cellStyle name="表体文字(小) 29 3" xfId="29092"/>
    <cellStyle name="表体文字(小) 29 3 2" xfId="11633"/>
    <cellStyle name="表体文字(小) 29 3 3" xfId="29094"/>
    <cellStyle name="表体文字(小) 29 3 4" xfId="29096"/>
    <cellStyle name="表体文字(小) 29 3 5" xfId="29100"/>
    <cellStyle name="表体文字(小) 29 3 6" xfId="29102"/>
    <cellStyle name="表体文字(小) 29 3 7" xfId="29104"/>
    <cellStyle name="表体文字(小) 29 3 8" xfId="29106"/>
    <cellStyle name="表体文字(小) 29 4" xfId="29108"/>
    <cellStyle name="表体文字(小) 29 5" xfId="29110"/>
    <cellStyle name="表体文字(小) 29 6" xfId="29112"/>
    <cellStyle name="表体文字(小) 29 7" xfId="29114"/>
    <cellStyle name="表体文字(小) 29 8" xfId="29116"/>
    <cellStyle name="表体文字(小) 29 9" xfId="29118"/>
    <cellStyle name="表体文字(小) 3" xfId="23189"/>
    <cellStyle name="表体文字(小) 3 10" xfId="18257"/>
    <cellStyle name="表体文字(小) 3 2" xfId="25116"/>
    <cellStyle name="表体文字(小) 3 2 2" xfId="8241"/>
    <cellStyle name="表体文字(小) 3 2 3" xfId="17596"/>
    <cellStyle name="表体文字(小) 3 2 4" xfId="17599"/>
    <cellStyle name="表体文字(小) 3 2 5" xfId="29120"/>
    <cellStyle name="表体文字(小) 3 2 6" xfId="29121"/>
    <cellStyle name="表体文字(小) 3 2 7" xfId="29122"/>
    <cellStyle name="表体文字(小) 3 2 8" xfId="29123"/>
    <cellStyle name="表体文字(小) 3 3" xfId="25119"/>
    <cellStyle name="表体文字(小) 3 3 2" xfId="8251"/>
    <cellStyle name="表体文字(小) 3 3 3" xfId="17624"/>
    <cellStyle name="表体文字(小) 3 3 4" xfId="17627"/>
    <cellStyle name="表体文字(小) 3 3 5" xfId="18244"/>
    <cellStyle name="表体文字(小) 3 3 6" xfId="29124"/>
    <cellStyle name="表体文字(小) 3 3 7" xfId="29125"/>
    <cellStyle name="表体文字(小) 3 3 8" xfId="29126"/>
    <cellStyle name="表体文字(小) 3 4" xfId="25122"/>
    <cellStyle name="表体文字(小) 3 5" xfId="25125"/>
    <cellStyle name="表体文字(小) 3 6" xfId="25128"/>
    <cellStyle name="表体文字(小) 3 7" xfId="29127"/>
    <cellStyle name="表体文字(小) 3 8" xfId="29129"/>
    <cellStyle name="表体文字(小) 3 9" xfId="29131"/>
    <cellStyle name="表体文字(小) 30" xfId="25794"/>
    <cellStyle name="表体文字(小) 30 10" xfId="28975"/>
    <cellStyle name="表体文字(小) 30 2" xfId="28977"/>
    <cellStyle name="表体文字(小) 30 2 2" xfId="28979"/>
    <cellStyle name="表体文字(小) 30 2 3" xfId="11749"/>
    <cellStyle name="表体文字(小) 30 2 4" xfId="11752"/>
    <cellStyle name="表体文字(小) 30 2 5" xfId="21317"/>
    <cellStyle name="表体文字(小) 30 2 6" xfId="21320"/>
    <cellStyle name="表体文字(小) 30 2 7" xfId="21323"/>
    <cellStyle name="表体文字(小) 30 2 8" xfId="21326"/>
    <cellStyle name="表体文字(小) 30 3" xfId="28981"/>
    <cellStyle name="表体文字(小) 30 3 2" xfId="28983"/>
    <cellStyle name="表体文字(小) 30 3 3" xfId="11759"/>
    <cellStyle name="表体文字(小) 30 3 4" xfId="11762"/>
    <cellStyle name="表体文字(小) 30 3 5" xfId="28985"/>
    <cellStyle name="表体文字(小) 30 3 6" xfId="28987"/>
    <cellStyle name="表体文字(小) 30 3 7" xfId="28989"/>
    <cellStyle name="表体文字(小) 30 3 8" xfId="28991"/>
    <cellStyle name="表体文字(小) 30 4" xfId="28993"/>
    <cellStyle name="表体文字(小) 30 5" xfId="28995"/>
    <cellStyle name="表体文字(小) 30 6" xfId="28997"/>
    <cellStyle name="表体文字(小) 30 7" xfId="28743"/>
    <cellStyle name="表体文字(小) 30 8" xfId="28748"/>
    <cellStyle name="表体文字(小) 30 9" xfId="28752"/>
    <cellStyle name="表体文字(小) 31" xfId="4340"/>
    <cellStyle name="表体文字(小) 31 10" xfId="28999"/>
    <cellStyle name="表体文字(小) 31 2" xfId="21875"/>
    <cellStyle name="表体文字(小) 31 2 2" xfId="29003"/>
    <cellStyle name="表体文字(小) 31 2 3" xfId="24351"/>
    <cellStyle name="表体文字(小) 31 2 4" xfId="24367"/>
    <cellStyle name="表体文字(小) 31 2 5" xfId="24383"/>
    <cellStyle name="表体文字(小) 31 2 6" xfId="24387"/>
    <cellStyle name="表体文字(小) 31 2 7" xfId="24391"/>
    <cellStyle name="表体文字(小) 31 2 8" xfId="24395"/>
    <cellStyle name="表体文字(小) 31 3" xfId="21879"/>
    <cellStyle name="表体文字(小) 31 3 2" xfId="29005"/>
    <cellStyle name="表体文字(小) 31 3 3" xfId="24403"/>
    <cellStyle name="表体文字(小) 31 3 4" xfId="24422"/>
    <cellStyle name="表体文字(小) 31 3 5" xfId="24440"/>
    <cellStyle name="表体文字(小) 31 3 6" xfId="24444"/>
    <cellStyle name="表体文字(小) 31 3 7" xfId="24448"/>
    <cellStyle name="表体文字(小) 31 3 8" xfId="24452"/>
    <cellStyle name="表体文字(小) 31 4" xfId="21883"/>
    <cellStyle name="表体文字(小) 31 5" xfId="21887"/>
    <cellStyle name="表体文字(小) 31 6" xfId="21891"/>
    <cellStyle name="表体文字(小) 31 7" xfId="28764"/>
    <cellStyle name="表体文字(小) 31 8" xfId="28768"/>
    <cellStyle name="表体文字(小) 31 9" xfId="28772"/>
    <cellStyle name="表体文字(小) 32" xfId="4343"/>
    <cellStyle name="表体文字(小) 32 10" xfId="29007"/>
    <cellStyle name="表体文字(小) 32 2" xfId="21914"/>
    <cellStyle name="表体文字(小) 32 2 2" xfId="29009"/>
    <cellStyle name="表体文字(小) 32 2 3" xfId="29011"/>
    <cellStyle name="表体文字(小) 32 2 4" xfId="29013"/>
    <cellStyle name="表体文字(小) 32 2 5" xfId="29015"/>
    <cellStyle name="表体文字(小) 32 2 6" xfId="29017"/>
    <cellStyle name="表体文字(小) 32 2 7" xfId="29019"/>
    <cellStyle name="表体文字(小) 32 2 8" xfId="29021"/>
    <cellStyle name="表体文字(小) 32 3" xfId="21922"/>
    <cellStyle name="表体文字(小) 32 3 2" xfId="29023"/>
    <cellStyle name="表体文字(小) 32 3 3" xfId="29025"/>
    <cellStyle name="表体文字(小) 32 3 4" xfId="27563"/>
    <cellStyle name="表体文字(小) 32 3 5" xfId="29027"/>
    <cellStyle name="表体文字(小) 32 3 6" xfId="29029"/>
    <cellStyle name="表体文字(小) 32 3 7" xfId="29031"/>
    <cellStyle name="表体文字(小) 32 3 8" xfId="29033"/>
    <cellStyle name="表体文字(小) 32 4" xfId="21928"/>
    <cellStyle name="表体文字(小) 32 5" xfId="21934"/>
    <cellStyle name="表体文字(小) 32 6" xfId="21938"/>
    <cellStyle name="表体文字(小) 32 7" xfId="29035"/>
    <cellStyle name="表体文字(小) 32 8" xfId="29037"/>
    <cellStyle name="表体文字(小) 32 9" xfId="29039"/>
    <cellStyle name="表体文字(小) 33" xfId="27932"/>
    <cellStyle name="表体文字(小) 33 10" xfId="23035"/>
    <cellStyle name="表体文字(小) 33 2" xfId="23972"/>
    <cellStyle name="表体文字(小) 33 2 2" xfId="29041"/>
    <cellStyle name="表体文字(小) 33 2 3" xfId="29043"/>
    <cellStyle name="表体文字(小) 33 2 4" xfId="29045"/>
    <cellStyle name="表体文字(小) 33 2 5" xfId="29047"/>
    <cellStyle name="表体文字(小) 33 2 6" xfId="29049"/>
    <cellStyle name="表体文字(小) 33 2 7" xfId="29051"/>
    <cellStyle name="表体文字(小) 33 2 8" xfId="29053"/>
    <cellStyle name="表体文字(小) 33 3" xfId="23976"/>
    <cellStyle name="表体文字(小) 33 3 2" xfId="29055"/>
    <cellStyle name="表体文字(小) 33 3 3" xfId="29057"/>
    <cellStyle name="表体文字(小) 33 3 4" xfId="29001"/>
    <cellStyle name="表体文字(小) 33 3 5" xfId="29059"/>
    <cellStyle name="表体文字(小) 33 3 6" xfId="29061"/>
    <cellStyle name="表体文字(小) 33 3 7" xfId="29063"/>
    <cellStyle name="表体文字(小) 33 3 8" xfId="29065"/>
    <cellStyle name="表体文字(小) 33 4" xfId="29067"/>
    <cellStyle name="表体文字(小) 33 5" xfId="29069"/>
    <cellStyle name="表体文字(小) 33 6" xfId="29071"/>
    <cellStyle name="表体文字(小) 33 7" xfId="29073"/>
    <cellStyle name="表体文字(小) 33 8" xfId="29075"/>
    <cellStyle name="表体文字(小) 33 9" xfId="29077"/>
    <cellStyle name="表体文字(小) 34" xfId="27936"/>
    <cellStyle name="表体文字(小) 34 10" xfId="8587"/>
    <cellStyle name="表体文字(小) 34 2" xfId="29079"/>
    <cellStyle name="表体文字(小) 34 2 2" xfId="11628"/>
    <cellStyle name="表体文字(小) 34 2 3" xfId="29081"/>
    <cellStyle name="表体文字(小) 34 2 4" xfId="29083"/>
    <cellStyle name="表体文字(小) 34 2 5" xfId="29085"/>
    <cellStyle name="表体文字(小) 34 2 6" xfId="29087"/>
    <cellStyle name="表体文字(小) 34 2 7" xfId="29089"/>
    <cellStyle name="表体文字(小) 34 2 8" xfId="29091"/>
    <cellStyle name="表体文字(小) 34 3" xfId="29093"/>
    <cellStyle name="表体文字(小) 34 3 2" xfId="11634"/>
    <cellStyle name="表体文字(小) 34 3 3" xfId="29095"/>
    <cellStyle name="表体文字(小) 34 3 4" xfId="29097"/>
    <cellStyle name="表体文字(小) 34 3 5" xfId="29101"/>
    <cellStyle name="表体文字(小) 34 3 6" xfId="29103"/>
    <cellStyle name="表体文字(小) 34 3 7" xfId="29105"/>
    <cellStyle name="表体文字(小) 34 3 8" xfId="29107"/>
    <cellStyle name="表体文字(小) 34 4" xfId="29109"/>
    <cellStyle name="表体文字(小) 34 5" xfId="29111"/>
    <cellStyle name="表体文字(小) 34 6" xfId="29113"/>
    <cellStyle name="表体文字(小) 34 7" xfId="29115"/>
    <cellStyle name="表体文字(小) 34 8" xfId="29117"/>
    <cellStyle name="表体文字(小) 34 9" xfId="29119"/>
    <cellStyle name="表体文字(小) 35" xfId="27939"/>
    <cellStyle name="表体文字(小) 35 10" xfId="11582"/>
    <cellStyle name="表体文字(小) 35 2" xfId="12951"/>
    <cellStyle name="表体文字(小) 35 2 2" xfId="9251"/>
    <cellStyle name="表体文字(小) 35 2 3" xfId="29133"/>
    <cellStyle name="表体文字(小) 35 2 4" xfId="29135"/>
    <cellStyle name="表体文字(小) 35 2 5" xfId="29137"/>
    <cellStyle name="表体文字(小) 35 2 6" xfId="29139"/>
    <cellStyle name="表体文字(小) 35 2 7" xfId="29141"/>
    <cellStyle name="表体文字(小) 35 2 8" xfId="29143"/>
    <cellStyle name="表体文字(小) 35 3" xfId="12954"/>
    <cellStyle name="表体文字(小) 35 3 2" xfId="29145"/>
    <cellStyle name="表体文字(小) 35 3 3" xfId="29147"/>
    <cellStyle name="表体文字(小) 35 3 4" xfId="29149"/>
    <cellStyle name="表体文字(小) 35 3 5" xfId="29153"/>
    <cellStyle name="表体文字(小) 35 3 6" xfId="29155"/>
    <cellStyle name="表体文字(小) 35 3 7" xfId="29157"/>
    <cellStyle name="表体文字(小) 35 3 8" xfId="29159"/>
    <cellStyle name="表体文字(小) 35 4" xfId="12957"/>
    <cellStyle name="表体文字(小) 35 5" xfId="12960"/>
    <cellStyle name="表体文字(小) 35 6" xfId="12963"/>
    <cellStyle name="表体文字(小) 35 7" xfId="29161"/>
    <cellStyle name="表体文字(小) 35 8" xfId="29163"/>
    <cellStyle name="表体文字(小) 35 9" xfId="29165"/>
    <cellStyle name="表体文字(小) 36" xfId="27943"/>
    <cellStyle name="表体文字(小) 36 10" xfId="29098"/>
    <cellStyle name="表体文字(小) 36 2" xfId="12970"/>
    <cellStyle name="表体文字(小) 36 2 2" xfId="29167"/>
    <cellStyle name="表体文字(小) 36 2 3" xfId="29169"/>
    <cellStyle name="表体文字(小) 36 2 4" xfId="1556"/>
    <cellStyle name="表体文字(小) 36 2 5" xfId="1567"/>
    <cellStyle name="表体文字(小) 36 2 6" xfId="2022"/>
    <cellStyle name="表体文字(小) 36 2 7" xfId="29171"/>
    <cellStyle name="表体文字(小) 36 2 8" xfId="29173"/>
    <cellStyle name="表体文字(小) 36 3" xfId="12973"/>
    <cellStyle name="表体文字(小) 36 3 2" xfId="29175"/>
    <cellStyle name="表体文字(小) 36 3 3" xfId="29177"/>
    <cellStyle name="表体文字(小) 36 3 4" xfId="2078"/>
    <cellStyle name="表体文字(小) 36 3 5" xfId="2085"/>
    <cellStyle name="表体文字(小) 36 3 6" xfId="2090"/>
    <cellStyle name="表体文字(小) 36 3 7" xfId="29179"/>
    <cellStyle name="表体文字(小) 36 3 8" xfId="29181"/>
    <cellStyle name="表体文字(小) 36 4" xfId="12976"/>
    <cellStyle name="表体文字(小) 36 5" xfId="12979"/>
    <cellStyle name="表体文字(小) 36 6" xfId="12982"/>
    <cellStyle name="表体文字(小) 36 7" xfId="29183"/>
    <cellStyle name="表体文字(小) 36 8" xfId="29185"/>
    <cellStyle name="表体文字(小) 36 9" xfId="29187"/>
    <cellStyle name="表体文字(小) 37" xfId="27947"/>
    <cellStyle name="表体文字(小) 37 10" xfId="9724"/>
    <cellStyle name="表体文字(小) 37 2" xfId="7152"/>
    <cellStyle name="表体文字(小) 37 2 2" xfId="29189"/>
    <cellStyle name="表体文字(小) 37 2 3" xfId="29191"/>
    <cellStyle name="表体文字(小) 37 2 4" xfId="1622"/>
    <cellStyle name="表体文字(小) 37 2 5" xfId="1633"/>
    <cellStyle name="表体文字(小) 37 2 6" xfId="29193"/>
    <cellStyle name="表体文字(小) 37 2 7" xfId="29195"/>
    <cellStyle name="表体文字(小) 37 2 8" xfId="29197"/>
    <cellStyle name="表体文字(小) 37 3" xfId="7160"/>
    <cellStyle name="表体文字(小) 37 3 2" xfId="3342"/>
    <cellStyle name="表体文字(小) 37 3 3" xfId="3345"/>
    <cellStyle name="表体文字(小) 37 3 4" xfId="2381"/>
    <cellStyle name="表体文字(小) 37 3 5" xfId="2392"/>
    <cellStyle name="表体文字(小) 37 3 6" xfId="2399"/>
    <cellStyle name="表体文字(小) 37 3 7" xfId="2408"/>
    <cellStyle name="表体文字(小) 37 3 8" xfId="2418"/>
    <cellStyle name="表体文字(小) 37 4" xfId="1740"/>
    <cellStyle name="表体文字(小) 37 5" xfId="1744"/>
    <cellStyle name="表体文字(小) 37 6" xfId="18609"/>
    <cellStyle name="表体文字(小) 37 7" xfId="18612"/>
    <cellStyle name="表体文字(小) 37 8" xfId="18615"/>
    <cellStyle name="表体文字(小) 37 9" xfId="18618"/>
    <cellStyle name="表体文字(小) 38" xfId="27951"/>
    <cellStyle name="表体文字(小) 38 10" xfId="12157"/>
    <cellStyle name="表体文字(小) 38 2" xfId="7182"/>
    <cellStyle name="表体文字(小) 38 2 2" xfId="12241"/>
    <cellStyle name="表体文字(小) 38 2 3" xfId="12245"/>
    <cellStyle name="表体文字(小) 38 2 4" xfId="12252"/>
    <cellStyle name="表体文字(小) 38 2 5" xfId="29200"/>
    <cellStyle name="表体文字(小) 38 2 6" xfId="29202"/>
    <cellStyle name="表体文字(小) 38 2 7" xfId="29204"/>
    <cellStyle name="表体文字(小) 38 2 8" xfId="29206"/>
    <cellStyle name="表体文字(小) 38 3" xfId="7188"/>
    <cellStyle name="表体文字(小) 38 3 2" xfId="29208"/>
    <cellStyle name="表体文字(小) 38 3 3" xfId="29210"/>
    <cellStyle name="表体文字(小) 38 3 4" xfId="29212"/>
    <cellStyle name="表体文字(小) 38 3 5" xfId="29214"/>
    <cellStyle name="表体文字(小) 38 3 6" xfId="29216"/>
    <cellStyle name="表体文字(小) 38 3 7" xfId="29218"/>
    <cellStyle name="表体文字(小) 38 3 8" xfId="29220"/>
    <cellStyle name="表体文字(小) 38 4" xfId="7191"/>
    <cellStyle name="表体文字(小) 38 5" xfId="7194"/>
    <cellStyle name="表体文字(小) 38 6" xfId="18626"/>
    <cellStyle name="表体文字(小) 38 7" xfId="18629"/>
    <cellStyle name="表体文字(小) 38 8" xfId="18632"/>
    <cellStyle name="表体文字(小) 38 9" xfId="18635"/>
    <cellStyle name="表体文字(小) 39" xfId="27955"/>
    <cellStyle name="表体文字(小) 39 10" xfId="25656"/>
    <cellStyle name="表体文字(小) 39 2" xfId="7221"/>
    <cellStyle name="表体文字(小) 39 2 2" xfId="29222"/>
    <cellStyle name="表体文字(小) 39 2 3" xfId="29224"/>
    <cellStyle name="表体文字(小) 39 2 4" xfId="29226"/>
    <cellStyle name="表体文字(小) 39 2 5" xfId="29228"/>
    <cellStyle name="表体文字(小) 39 2 6" xfId="29230"/>
    <cellStyle name="表体文字(小) 39 2 7" xfId="29232"/>
    <cellStyle name="表体文字(小) 39 2 8" xfId="29234"/>
    <cellStyle name="表体文字(小) 39 3" xfId="7225"/>
    <cellStyle name="表体文字(小) 39 3 2" xfId="29236"/>
    <cellStyle name="表体文字(小) 39 3 3" xfId="29238"/>
    <cellStyle name="表体文字(小) 39 3 4" xfId="29240"/>
    <cellStyle name="表体文字(小) 39 3 5" xfId="29242"/>
    <cellStyle name="表体文字(小) 39 3 6" xfId="29244"/>
    <cellStyle name="表体文字(小) 39 3 7" xfId="29246"/>
    <cellStyle name="表体文字(小) 39 3 8" xfId="29248"/>
    <cellStyle name="表体文字(小) 39 4" xfId="7228"/>
    <cellStyle name="表体文字(小) 39 5" xfId="7231"/>
    <cellStyle name="表体文字(小) 39 6" xfId="29250"/>
    <cellStyle name="表体文字(小) 39 7" xfId="29252"/>
    <cellStyle name="表体文字(小) 39 8" xfId="29255"/>
    <cellStyle name="表体文字(小) 39 9" xfId="29257"/>
    <cellStyle name="表体文字(小) 4" xfId="23196"/>
    <cellStyle name="表体文字(小) 4 10" xfId="29259"/>
    <cellStyle name="表体文字(小) 4 2" xfId="25797"/>
    <cellStyle name="表体文字(小) 4 2 2" xfId="29262"/>
    <cellStyle name="表体文字(小) 4 2 3" xfId="29263"/>
    <cellStyle name="表体文字(小) 4 2 4" xfId="29264"/>
    <cellStyle name="表体文字(小) 4 2 5" xfId="29265"/>
    <cellStyle name="表体文字(小) 4 2 6" xfId="29266"/>
    <cellStyle name="表体文字(小) 4 2 7" xfId="29267"/>
    <cellStyle name="表体文字(小) 4 2 8" xfId="29268"/>
    <cellStyle name="表体文字(小) 4 3" xfId="25800"/>
    <cellStyle name="表体文字(小) 4 3 2" xfId="15922"/>
    <cellStyle name="表体文字(小) 4 3 3" xfId="29269"/>
    <cellStyle name="表体文字(小) 4 3 4" xfId="29270"/>
    <cellStyle name="表体文字(小) 4 3 5" xfId="29271"/>
    <cellStyle name="表体文字(小) 4 3 6" xfId="29272"/>
    <cellStyle name="表体文字(小) 4 3 7" xfId="29273"/>
    <cellStyle name="表体文字(小) 4 3 8" xfId="29274"/>
    <cellStyle name="表体文字(小) 4 4" xfId="25803"/>
    <cellStyle name="表体文字(小) 4 5" xfId="25808"/>
    <cellStyle name="表体文字(小) 4 6" xfId="25813"/>
    <cellStyle name="表体文字(小) 4 7" xfId="25819"/>
    <cellStyle name="表体文字(小) 4 8" xfId="25825"/>
    <cellStyle name="表体文字(小) 4 9" xfId="11323"/>
    <cellStyle name="表体文字(小) 40" xfId="27940"/>
    <cellStyle name="表体文字(小) 40 10" xfId="11583"/>
    <cellStyle name="表体文字(小) 40 2" xfId="12952"/>
    <cellStyle name="表体文字(小) 40 2 2" xfId="9252"/>
    <cellStyle name="表体文字(小) 40 2 3" xfId="29134"/>
    <cellStyle name="表体文字(小) 40 2 4" xfId="29136"/>
    <cellStyle name="表体文字(小) 40 2 5" xfId="29138"/>
    <cellStyle name="表体文字(小) 40 2 6" xfId="29140"/>
    <cellStyle name="表体文字(小) 40 2 7" xfId="29142"/>
    <cellStyle name="表体文字(小) 40 2 8" xfId="29144"/>
    <cellStyle name="表体文字(小) 40 3" xfId="12955"/>
    <cellStyle name="表体文字(小) 40 3 2" xfId="29146"/>
    <cellStyle name="表体文字(小) 40 3 3" xfId="29148"/>
    <cellStyle name="表体文字(小) 40 3 4" xfId="29150"/>
    <cellStyle name="表体文字(小) 40 3 5" xfId="29154"/>
    <cellStyle name="表体文字(小) 40 3 6" xfId="29156"/>
    <cellStyle name="表体文字(小) 40 3 7" xfId="29158"/>
    <cellStyle name="表体文字(小) 40 3 8" xfId="29160"/>
    <cellStyle name="表体文字(小) 40 4" xfId="12958"/>
    <cellStyle name="表体文字(小) 40 5" xfId="12961"/>
    <cellStyle name="表体文字(小) 40 6" xfId="12964"/>
    <cellStyle name="表体文字(小) 40 7" xfId="29162"/>
    <cellStyle name="表体文字(小) 40 8" xfId="29164"/>
    <cellStyle name="表体文字(小) 40 9" xfId="29166"/>
    <cellStyle name="表体文字(小) 41" xfId="27944"/>
    <cellStyle name="表体文字(小) 41 10" xfId="29099"/>
    <cellStyle name="表体文字(小) 41 2" xfId="12971"/>
    <cellStyle name="表体文字(小) 41 2 2" xfId="29168"/>
    <cellStyle name="表体文字(小) 41 2 3" xfId="29170"/>
    <cellStyle name="表体文字(小) 41 2 4" xfId="1555"/>
    <cellStyle name="表体文字(小) 41 2 5" xfId="1566"/>
    <cellStyle name="表体文字(小) 41 2 6" xfId="2021"/>
    <cellStyle name="表体文字(小) 41 2 7" xfId="29172"/>
    <cellStyle name="表体文字(小) 41 2 8" xfId="29174"/>
    <cellStyle name="表体文字(小) 41 3" xfId="12974"/>
    <cellStyle name="表体文字(小) 41 3 2" xfId="29176"/>
    <cellStyle name="表体文字(小) 41 3 3" xfId="29178"/>
    <cellStyle name="表体文字(小) 41 3 4" xfId="2077"/>
    <cellStyle name="表体文字(小) 41 3 5" xfId="2084"/>
    <cellStyle name="表体文字(小) 41 3 6" xfId="2089"/>
    <cellStyle name="表体文字(小) 41 3 7" xfId="29180"/>
    <cellStyle name="表体文字(小) 41 3 8" xfId="29182"/>
    <cellStyle name="表体文字(小) 41 4" xfId="12977"/>
    <cellStyle name="表体文字(小) 41 5" xfId="12980"/>
    <cellStyle name="表体文字(小) 41 6" xfId="12983"/>
    <cellStyle name="表体文字(小) 41 7" xfId="29184"/>
    <cellStyle name="表体文字(小) 41 8" xfId="29186"/>
    <cellStyle name="表体文字(小) 41 9" xfId="29188"/>
    <cellStyle name="表体文字(小) 42" xfId="27948"/>
    <cellStyle name="表体文字(小) 42 10" xfId="9725"/>
    <cellStyle name="表体文字(小) 42 2" xfId="7153"/>
    <cellStyle name="表体文字(小) 42 2 2" xfId="29190"/>
    <cellStyle name="表体文字(小) 42 2 3" xfId="29192"/>
    <cellStyle name="表体文字(小) 42 2 4" xfId="1621"/>
    <cellStyle name="表体文字(小) 42 2 5" xfId="1632"/>
    <cellStyle name="表体文字(小) 42 2 6" xfId="29194"/>
    <cellStyle name="表体文字(小) 42 2 7" xfId="29196"/>
    <cellStyle name="表体文字(小) 42 2 8" xfId="29198"/>
    <cellStyle name="表体文字(小) 42 3" xfId="7161"/>
    <cellStyle name="表体文字(小) 42 3 2" xfId="3341"/>
    <cellStyle name="表体文字(小) 42 3 3" xfId="3344"/>
    <cellStyle name="表体文字(小) 42 3 4" xfId="2380"/>
    <cellStyle name="表体文字(小) 42 3 5" xfId="2391"/>
    <cellStyle name="表体文字(小) 42 3 6" xfId="2398"/>
    <cellStyle name="表体文字(小) 42 3 7" xfId="2407"/>
    <cellStyle name="表体文字(小) 42 3 8" xfId="2417"/>
    <cellStyle name="表体文字(小) 42 4" xfId="1739"/>
    <cellStyle name="表体文字(小) 42 5" xfId="1743"/>
    <cellStyle name="表体文字(小) 42 6" xfId="18610"/>
    <cellStyle name="表体文字(小) 42 7" xfId="18613"/>
    <cellStyle name="表体文字(小) 42 8" xfId="18616"/>
    <cellStyle name="表体文字(小) 42 9" xfId="18619"/>
    <cellStyle name="表体文字(小) 43" xfId="27952"/>
    <cellStyle name="表体文字(小) 43 10" xfId="12158"/>
    <cellStyle name="表体文字(小) 43 2" xfId="7183"/>
    <cellStyle name="表体文字(小) 43 2 2" xfId="12242"/>
    <cellStyle name="表体文字(小) 43 2 3" xfId="12246"/>
    <cellStyle name="表体文字(小) 43 2 4" xfId="12253"/>
    <cellStyle name="表体文字(小) 43 2 5" xfId="29201"/>
    <cellStyle name="表体文字(小) 43 2 6" xfId="29203"/>
    <cellStyle name="表体文字(小) 43 2 7" xfId="29205"/>
    <cellStyle name="表体文字(小) 43 2 8" xfId="29207"/>
    <cellStyle name="表体文字(小) 43 3" xfId="7189"/>
    <cellStyle name="表体文字(小) 43 3 2" xfId="29209"/>
    <cellStyle name="表体文字(小) 43 3 3" xfId="29211"/>
    <cellStyle name="表体文字(小) 43 3 4" xfId="29213"/>
    <cellStyle name="表体文字(小) 43 3 5" xfId="29215"/>
    <cellStyle name="表体文字(小) 43 3 6" xfId="29217"/>
    <cellStyle name="表体文字(小) 43 3 7" xfId="29219"/>
    <cellStyle name="表体文字(小) 43 3 8" xfId="29221"/>
    <cellStyle name="表体文字(小) 43 4" xfId="7192"/>
    <cellStyle name="表体文字(小) 43 5" xfId="7195"/>
    <cellStyle name="表体文字(小) 43 6" xfId="18627"/>
    <cellStyle name="表体文字(小) 43 7" xfId="18630"/>
    <cellStyle name="表体文字(小) 43 8" xfId="18633"/>
    <cellStyle name="表体文字(小) 43 9" xfId="18636"/>
    <cellStyle name="表体文字(小) 44" xfId="27956"/>
    <cellStyle name="表体文字(小) 44 10" xfId="25657"/>
    <cellStyle name="表体文字(小) 44 2" xfId="7222"/>
    <cellStyle name="表体文字(小) 44 2 2" xfId="29223"/>
    <cellStyle name="表体文字(小) 44 2 3" xfId="29225"/>
    <cellStyle name="表体文字(小) 44 2 4" xfId="29227"/>
    <cellStyle name="表体文字(小) 44 2 5" xfId="29229"/>
    <cellStyle name="表体文字(小) 44 2 6" xfId="29231"/>
    <cellStyle name="表体文字(小) 44 2 7" xfId="29233"/>
    <cellStyle name="表体文字(小) 44 2 8" xfId="29235"/>
    <cellStyle name="表体文字(小) 44 3" xfId="7226"/>
    <cellStyle name="表体文字(小) 44 3 2" xfId="29237"/>
    <cellStyle name="表体文字(小) 44 3 3" xfId="29239"/>
    <cellStyle name="表体文字(小) 44 3 4" xfId="29241"/>
    <cellStyle name="表体文字(小) 44 3 5" xfId="29243"/>
    <cellStyle name="表体文字(小) 44 3 6" xfId="29245"/>
    <cellStyle name="表体文字(小) 44 3 7" xfId="29247"/>
    <cellStyle name="表体文字(小) 44 3 8" xfId="29249"/>
    <cellStyle name="表体文字(小) 44 4" xfId="7229"/>
    <cellStyle name="表体文字(小) 44 5" xfId="7232"/>
    <cellStyle name="表体文字(小) 44 6" xfId="29251"/>
    <cellStyle name="表体文字(小) 44 7" xfId="29253"/>
    <cellStyle name="表体文字(小) 44 8" xfId="29256"/>
    <cellStyle name="表体文字(小) 44 9" xfId="29258"/>
    <cellStyle name="表体文字(小) 45" xfId="29275"/>
    <cellStyle name="表体文字(小) 45 10" xfId="29277"/>
    <cellStyle name="表体文字(小) 45 2" xfId="7264"/>
    <cellStyle name="表体文字(小) 45 2 2" xfId="29279"/>
    <cellStyle name="表体文字(小) 45 2 3" xfId="29281"/>
    <cellStyle name="表体文字(小) 45 2 4" xfId="29283"/>
    <cellStyle name="表体文字(小) 45 2 5" xfId="29285"/>
    <cellStyle name="表体文字(小) 45 2 6" xfId="29287"/>
    <cellStyle name="表体文字(小) 45 2 7" xfId="29289"/>
    <cellStyle name="表体文字(小) 45 2 8" xfId="29291"/>
    <cellStyle name="表体文字(小) 45 3" xfId="7268"/>
    <cellStyle name="表体文字(小) 45 3 2" xfId="29293"/>
    <cellStyle name="表体文字(小) 45 3 3" xfId="29295"/>
    <cellStyle name="表体文字(小) 45 3 4" xfId="29297"/>
    <cellStyle name="表体文字(小) 45 3 5" xfId="29299"/>
    <cellStyle name="表体文字(小) 45 3 6" xfId="29301"/>
    <cellStyle name="表体文字(小) 45 3 7" xfId="29303"/>
    <cellStyle name="表体文字(小) 45 3 8" xfId="29305"/>
    <cellStyle name="表体文字(小) 45 4" xfId="7271"/>
    <cellStyle name="表体文字(小) 45 5" xfId="7274"/>
    <cellStyle name="表体文字(小) 45 6" xfId="29307"/>
    <cellStyle name="表体文字(小) 45 7" xfId="29309"/>
    <cellStyle name="表体文字(小) 45 8" xfId="29311"/>
    <cellStyle name="表体文字(小) 45 9" xfId="29313"/>
    <cellStyle name="表体文字(小) 46" xfId="29315"/>
    <cellStyle name="表体文字(小) 46 10" xfId="29151"/>
    <cellStyle name="表体文字(小) 46 2" xfId="7288"/>
    <cellStyle name="表体文字(小) 46 2 2" xfId="29317"/>
    <cellStyle name="表体文字(小) 46 2 3" xfId="29319"/>
    <cellStyle name="表体文字(小) 46 2 4" xfId="29321"/>
    <cellStyle name="表体文字(小) 46 2 5" xfId="29323"/>
    <cellStyle name="表体文字(小) 46 2 6" xfId="723"/>
    <cellStyle name="表体文字(小) 46 2 7" xfId="29325"/>
    <cellStyle name="表体文字(小) 46 2 8" xfId="29327"/>
    <cellStyle name="表体文字(小) 46 3" xfId="7292"/>
    <cellStyle name="表体文字(小) 46 3 2" xfId="29329"/>
    <cellStyle name="表体文字(小) 46 3 3" xfId="29331"/>
    <cellStyle name="表体文字(小) 46 3 4" xfId="29333"/>
    <cellStyle name="表体文字(小) 46 3 5" xfId="29335"/>
    <cellStyle name="表体文字(小) 46 3 6" xfId="29337"/>
    <cellStyle name="表体文字(小) 46 3 7" xfId="29339"/>
    <cellStyle name="表体文字(小) 46 3 8" xfId="29341"/>
    <cellStyle name="表体文字(小) 46 4" xfId="7295"/>
    <cellStyle name="表体文字(小) 46 5" xfId="7298"/>
    <cellStyle name="表体文字(小) 46 6" xfId="29343"/>
    <cellStyle name="表体文字(小) 46 7" xfId="29345"/>
    <cellStyle name="表体文字(小) 46 8" xfId="29347"/>
    <cellStyle name="表体文字(小) 46 9" xfId="29349"/>
    <cellStyle name="表体文字(小) 47" xfId="29351"/>
    <cellStyle name="表体文字(小) 47 10" xfId="29353"/>
    <cellStyle name="表体文字(小) 47 2" xfId="4397"/>
    <cellStyle name="表体文字(小) 47 2 2" xfId="4402"/>
    <cellStyle name="表体文字(小) 47 2 3" xfId="4405"/>
    <cellStyle name="表体文字(小) 47 2 4" xfId="4413"/>
    <cellStyle name="表体文字(小) 47 2 5" xfId="4424"/>
    <cellStyle name="表体文字(小) 47 2 6" xfId="4416"/>
    <cellStyle name="表体文字(小) 47 2 7" xfId="2911"/>
    <cellStyle name="表体文字(小) 47 2 8" xfId="2915"/>
    <cellStyle name="表体文字(小) 47 3" xfId="4445"/>
    <cellStyle name="表体文字(小) 47 3 2" xfId="29355"/>
    <cellStyle name="表体文字(小) 47 3 3" xfId="29357"/>
    <cellStyle name="表体文字(小) 47 3 4" xfId="29359"/>
    <cellStyle name="表体文字(小) 47 3 5" xfId="29361"/>
    <cellStyle name="表体文字(小) 47 3 6" xfId="29363"/>
    <cellStyle name="表体文字(小) 47 3 7" xfId="29365"/>
    <cellStyle name="表体文字(小) 47 3 8" xfId="29367"/>
    <cellStyle name="表体文字(小) 47 4" xfId="4449"/>
    <cellStyle name="表体文字(小) 47 5" xfId="4454"/>
    <cellStyle name="表体文字(小) 47 6" xfId="4460"/>
    <cellStyle name="表体文字(小) 47 7" xfId="4464"/>
    <cellStyle name="表体文字(小) 47 8" xfId="29369"/>
    <cellStyle name="表体文字(小) 47 9" xfId="29371"/>
    <cellStyle name="表体文字(小) 48" xfId="29373"/>
    <cellStyle name="表体文字(小) 48 10" xfId="23084"/>
    <cellStyle name="表体文字(小) 48 2" xfId="3488"/>
    <cellStyle name="表体文字(小) 48 2 2" xfId="29375"/>
    <cellStyle name="表体文字(小) 48 2 3" xfId="29377"/>
    <cellStyle name="表体文字(小) 48 2 4" xfId="29379"/>
    <cellStyle name="表体文字(小) 48 2 5" xfId="29381"/>
    <cellStyle name="表体文字(小) 48 2 6" xfId="29383"/>
    <cellStyle name="表体文字(小) 48 2 7" xfId="29385"/>
    <cellStyle name="表体文字(小) 48 2 8" xfId="29387"/>
    <cellStyle name="表体文字(小) 48 3" xfId="3495"/>
    <cellStyle name="表体文字(小) 48 3 2" xfId="29389"/>
    <cellStyle name="表体文字(小) 48 3 3" xfId="29391"/>
    <cellStyle name="表体文字(小) 48 3 4" xfId="29393"/>
    <cellStyle name="表体文字(小) 48 3 5" xfId="29395"/>
    <cellStyle name="表体文字(小) 48 3 6" xfId="29397"/>
    <cellStyle name="表体文字(小) 48 3 7" xfId="29399"/>
    <cellStyle name="表体文字(小) 48 3 8" xfId="29401"/>
    <cellStyle name="表体文字(小) 48 4" xfId="3501"/>
    <cellStyle name="表体文字(小) 48 5" xfId="3507"/>
    <cellStyle name="表体文字(小) 48 6" xfId="29403"/>
    <cellStyle name="表体文字(小) 48 7" xfId="29405"/>
    <cellStyle name="表体文字(小) 48 8" xfId="29407"/>
    <cellStyle name="表体文字(小) 48 9" xfId="29409"/>
    <cellStyle name="表体文字(小) 49" xfId="3541"/>
    <cellStyle name="表体文字(小) 49 10" xfId="25688"/>
    <cellStyle name="表体文字(小) 49 2" xfId="3556"/>
    <cellStyle name="表体文字(小) 49 2 2" xfId="29411"/>
    <cellStyle name="表体文字(小) 49 2 3" xfId="29413"/>
    <cellStyle name="表体文字(小) 49 2 4" xfId="29415"/>
    <cellStyle name="表体文字(小) 49 2 5" xfId="29417"/>
    <cellStyle name="表体文字(小) 49 2 6" xfId="29419"/>
    <cellStyle name="表体文字(小) 49 2 7" xfId="29421"/>
    <cellStyle name="表体文字(小) 49 2 8" xfId="29423"/>
    <cellStyle name="表体文字(小) 49 3" xfId="3567"/>
    <cellStyle name="表体文字(小) 49 3 2" xfId="29425"/>
    <cellStyle name="表体文字(小) 49 3 3" xfId="29427"/>
    <cellStyle name="表体文字(小) 49 3 4" xfId="29429"/>
    <cellStyle name="表体文字(小) 49 3 5" xfId="29431"/>
    <cellStyle name="表体文字(小) 49 3 6" xfId="29433"/>
    <cellStyle name="表体文字(小) 49 3 7" xfId="29435"/>
    <cellStyle name="表体文字(小) 49 3 8" xfId="29437"/>
    <cellStyle name="表体文字(小) 49 4" xfId="3576"/>
    <cellStyle name="表体文字(小) 49 5" xfId="3583"/>
    <cellStyle name="表体文字(小) 49 6" xfId="29439"/>
    <cellStyle name="表体文字(小) 49 7" xfId="29441"/>
    <cellStyle name="表体文字(小) 49 8" xfId="29444"/>
    <cellStyle name="表体文字(小) 49 9" xfId="29446"/>
    <cellStyle name="表体文字(小) 5" xfId="23205"/>
    <cellStyle name="表体文字(小) 5 10" xfId="29448"/>
    <cellStyle name="表体文字(小) 5 2" xfId="25829"/>
    <cellStyle name="表体文字(小) 5 2 2" xfId="29450"/>
    <cellStyle name="表体文字(小) 5 2 3" xfId="29451"/>
    <cellStyle name="表体文字(小) 5 2 4" xfId="29452"/>
    <cellStyle name="表体文字(小) 5 2 5" xfId="29453"/>
    <cellStyle name="表体文字(小) 5 2 6" xfId="29454"/>
    <cellStyle name="表体文字(小) 5 2 7" xfId="29455"/>
    <cellStyle name="表体文字(小) 5 2 8" xfId="29456"/>
    <cellStyle name="表体文字(小) 5 3" xfId="25832"/>
    <cellStyle name="表体文字(小) 5 3 2" xfId="16168"/>
    <cellStyle name="表体文字(小) 5 3 3" xfId="29457"/>
    <cellStyle name="表体文字(小) 5 3 4" xfId="29458"/>
    <cellStyle name="表体文字(小) 5 3 5" xfId="29459"/>
    <cellStyle name="表体文字(小) 5 3 6" xfId="29460"/>
    <cellStyle name="表体文字(小) 5 3 7" xfId="29461"/>
    <cellStyle name="表体文字(小) 5 3 8" xfId="29462"/>
    <cellStyle name="表体文字(小) 5 4" xfId="25835"/>
    <cellStyle name="表体文字(小) 5 5" xfId="25840"/>
    <cellStyle name="表体文字(小) 5 6" xfId="25845"/>
    <cellStyle name="表体文字(小) 5 7" xfId="25850"/>
    <cellStyle name="表体文字(小) 5 8" xfId="25855"/>
    <cellStyle name="表体文字(小) 5 9" xfId="6935"/>
    <cellStyle name="表体文字(小) 50" xfId="29276"/>
    <cellStyle name="表体文字(小) 50 10" xfId="29278"/>
    <cellStyle name="表体文字(小) 50 2" xfId="7265"/>
    <cellStyle name="表体文字(小) 50 2 2" xfId="29280"/>
    <cellStyle name="表体文字(小) 50 2 3" xfId="29282"/>
    <cellStyle name="表体文字(小) 50 2 4" xfId="29284"/>
    <cellStyle name="表体文字(小) 50 2 5" xfId="29286"/>
    <cellStyle name="表体文字(小) 50 2 6" xfId="29288"/>
    <cellStyle name="表体文字(小) 50 2 7" xfId="29290"/>
    <cellStyle name="表体文字(小) 50 2 8" xfId="29292"/>
    <cellStyle name="表体文字(小) 50 3" xfId="7269"/>
    <cellStyle name="表体文字(小) 50 3 2" xfId="29294"/>
    <cellStyle name="表体文字(小) 50 3 3" xfId="29296"/>
    <cellStyle name="表体文字(小) 50 3 4" xfId="29298"/>
    <cellStyle name="表体文字(小) 50 3 5" xfId="29300"/>
    <cellStyle name="表体文字(小) 50 3 6" xfId="29302"/>
    <cellStyle name="表体文字(小) 50 3 7" xfId="29304"/>
    <cellStyle name="表体文字(小) 50 3 8" xfId="29306"/>
    <cellStyle name="表体文字(小) 50 4" xfId="7272"/>
    <cellStyle name="表体文字(小) 50 5" xfId="7275"/>
    <cellStyle name="表体文字(小) 50 6" xfId="29308"/>
    <cellStyle name="表体文字(小) 50 7" xfId="29310"/>
    <cellStyle name="表体文字(小) 50 8" xfId="29312"/>
    <cellStyle name="表体文字(小) 50 9" xfId="29314"/>
    <cellStyle name="表体文字(小) 51" xfId="29316"/>
    <cellStyle name="表体文字(小) 51 10" xfId="29152"/>
    <cellStyle name="表体文字(小) 51 2" xfId="7289"/>
    <cellStyle name="表体文字(小) 51 2 2" xfId="29318"/>
    <cellStyle name="表体文字(小) 51 2 3" xfId="29320"/>
    <cellStyle name="表体文字(小) 51 2 4" xfId="29322"/>
    <cellStyle name="表体文字(小) 51 2 5" xfId="29324"/>
    <cellStyle name="表体文字(小) 51 2 6" xfId="722"/>
    <cellStyle name="表体文字(小) 51 2 7" xfId="29326"/>
    <cellStyle name="表体文字(小) 51 2 8" xfId="29328"/>
    <cellStyle name="表体文字(小) 51 3" xfId="7293"/>
    <cellStyle name="表体文字(小) 51 3 2" xfId="29330"/>
    <cellStyle name="表体文字(小) 51 3 3" xfId="29332"/>
    <cellStyle name="表体文字(小) 51 3 4" xfId="29334"/>
    <cellStyle name="表体文字(小) 51 3 5" xfId="29336"/>
    <cellStyle name="表体文字(小) 51 3 6" xfId="29338"/>
    <cellStyle name="表体文字(小) 51 3 7" xfId="29340"/>
    <cellStyle name="表体文字(小) 51 3 8" xfId="29342"/>
    <cellStyle name="表体文字(小) 51 4" xfId="7296"/>
    <cellStyle name="表体文字(小) 51 5" xfId="7299"/>
    <cellStyle name="表体文字(小) 51 6" xfId="29344"/>
    <cellStyle name="表体文字(小) 51 7" xfId="29346"/>
    <cellStyle name="表体文字(小) 51 8" xfId="29348"/>
    <cellStyle name="表体文字(小) 51 9" xfId="29350"/>
    <cellStyle name="表体文字(小) 52" xfId="29352"/>
    <cellStyle name="表体文字(小) 52 10" xfId="29354"/>
    <cellStyle name="表体文字(小) 52 2" xfId="4398"/>
    <cellStyle name="表体文字(小) 52 2 2" xfId="4403"/>
    <cellStyle name="表体文字(小) 52 2 3" xfId="4406"/>
    <cellStyle name="表体文字(小) 52 2 4" xfId="4414"/>
    <cellStyle name="表体文字(小) 52 2 5" xfId="4425"/>
    <cellStyle name="表体文字(小) 52 2 6" xfId="4417"/>
    <cellStyle name="表体文字(小) 52 2 7" xfId="2910"/>
    <cellStyle name="表体文字(小) 52 2 8" xfId="2914"/>
    <cellStyle name="表体文字(小) 52 3" xfId="4446"/>
    <cellStyle name="表体文字(小) 52 3 2" xfId="29356"/>
    <cellStyle name="表体文字(小) 52 3 3" xfId="29358"/>
    <cellStyle name="表体文字(小) 52 3 4" xfId="29360"/>
    <cellStyle name="表体文字(小) 52 3 5" xfId="29362"/>
    <cellStyle name="表体文字(小) 52 3 6" xfId="29364"/>
    <cellStyle name="表体文字(小) 52 3 7" xfId="29366"/>
    <cellStyle name="表体文字(小) 52 3 8" xfId="29368"/>
    <cellStyle name="表体文字(小) 52 4" xfId="4450"/>
    <cellStyle name="表体文字(小) 52 5" xfId="4455"/>
    <cellStyle name="表体文字(小) 52 6" xfId="4461"/>
    <cellStyle name="表体文字(小) 52 7" xfId="4465"/>
    <cellStyle name="表体文字(小) 52 8" xfId="29370"/>
    <cellStyle name="表体文字(小) 52 9" xfId="29372"/>
    <cellStyle name="表体文字(小) 53" xfId="29374"/>
    <cellStyle name="表体文字(小) 53 10" xfId="23085"/>
    <cellStyle name="表体文字(小) 53 2" xfId="3487"/>
    <cellStyle name="表体文字(小) 53 2 2" xfId="29376"/>
    <cellStyle name="表体文字(小) 53 2 3" xfId="29378"/>
    <cellStyle name="表体文字(小) 53 2 4" xfId="29380"/>
    <cellStyle name="表体文字(小) 53 2 5" xfId="29382"/>
    <cellStyle name="表体文字(小) 53 2 6" xfId="29384"/>
    <cellStyle name="表体文字(小) 53 2 7" xfId="29386"/>
    <cellStyle name="表体文字(小) 53 2 8" xfId="29388"/>
    <cellStyle name="表体文字(小) 53 3" xfId="3494"/>
    <cellStyle name="表体文字(小) 53 3 2" xfId="29390"/>
    <cellStyle name="表体文字(小) 53 3 3" xfId="29392"/>
    <cellStyle name="表体文字(小) 53 3 4" xfId="29394"/>
    <cellStyle name="表体文字(小) 53 3 5" xfId="29396"/>
    <cellStyle name="表体文字(小) 53 3 6" xfId="29398"/>
    <cellStyle name="表体文字(小) 53 3 7" xfId="29400"/>
    <cellStyle name="表体文字(小) 53 3 8" xfId="29402"/>
    <cellStyle name="表体文字(小) 53 4" xfId="3500"/>
    <cellStyle name="表体文字(小) 53 5" xfId="3506"/>
    <cellStyle name="表体文字(小) 53 6" xfId="29404"/>
    <cellStyle name="表体文字(小) 53 7" xfId="29406"/>
    <cellStyle name="表体文字(小) 53 8" xfId="29408"/>
    <cellStyle name="表体文字(小) 53 9" xfId="29410"/>
    <cellStyle name="表体文字(小) 54" xfId="3540"/>
    <cellStyle name="表体文字(小) 54 10" xfId="25689"/>
    <cellStyle name="表体文字(小) 54 2" xfId="3555"/>
    <cellStyle name="表体文字(小) 54 2 2" xfId="29412"/>
    <cellStyle name="表体文字(小) 54 2 3" xfId="29414"/>
    <cellStyle name="表体文字(小) 54 2 4" xfId="29416"/>
    <cellStyle name="表体文字(小) 54 2 5" xfId="29418"/>
    <cellStyle name="表体文字(小) 54 2 6" xfId="29420"/>
    <cellStyle name="表体文字(小) 54 2 7" xfId="29422"/>
    <cellStyle name="表体文字(小) 54 2 8" xfId="29424"/>
    <cellStyle name="表体文字(小) 54 3" xfId="3566"/>
    <cellStyle name="表体文字(小) 54 3 2" xfId="29426"/>
    <cellStyle name="表体文字(小) 54 3 3" xfId="29428"/>
    <cellStyle name="表体文字(小) 54 3 4" xfId="29430"/>
    <cellStyle name="表体文字(小) 54 3 5" xfId="29432"/>
    <cellStyle name="表体文字(小) 54 3 6" xfId="29434"/>
    <cellStyle name="表体文字(小) 54 3 7" xfId="29436"/>
    <cellStyle name="表体文字(小) 54 3 8" xfId="29438"/>
    <cellStyle name="表体文字(小) 54 4" xfId="3575"/>
    <cellStyle name="表体文字(小) 54 5" xfId="3582"/>
    <cellStyle name="表体文字(小) 54 6" xfId="29440"/>
    <cellStyle name="表体文字(小) 54 7" xfId="29442"/>
    <cellStyle name="表体文字(小) 54 8" xfId="29445"/>
    <cellStyle name="表体文字(小) 54 9" xfId="29447"/>
    <cellStyle name="表体文字(小) 55" xfId="29463"/>
    <cellStyle name="表体文字(小) 55 10" xfId="1498"/>
    <cellStyle name="表体文字(小) 55 2" xfId="29465"/>
    <cellStyle name="表体文字(小) 55 2 2" xfId="29467"/>
    <cellStyle name="表体文字(小) 55 2 3" xfId="29469"/>
    <cellStyle name="表体文字(小) 55 2 4" xfId="29471"/>
    <cellStyle name="表体文字(小) 55 2 5" xfId="13393"/>
    <cellStyle name="表体文字(小) 55 2 6" xfId="10790"/>
    <cellStyle name="表体文字(小) 55 2 7" xfId="10815"/>
    <cellStyle name="表体文字(小) 55 2 8" xfId="10830"/>
    <cellStyle name="表体文字(小) 55 3" xfId="29473"/>
    <cellStyle name="表体文字(小) 55 3 2" xfId="29475"/>
    <cellStyle name="表体文字(小) 55 3 3" xfId="29477"/>
    <cellStyle name="表体文字(小) 55 3 4" xfId="29479"/>
    <cellStyle name="表体文字(小) 55 3 5" xfId="13411"/>
    <cellStyle name="表体文字(小) 55 3 6" xfId="10852"/>
    <cellStyle name="表体文字(小) 55 3 7" xfId="10878"/>
    <cellStyle name="表体文字(小) 55 3 8" xfId="10896"/>
    <cellStyle name="表体文字(小) 55 4" xfId="29481"/>
    <cellStyle name="表体文字(小) 55 5" xfId="29483"/>
    <cellStyle name="表体文字(小) 55 6" xfId="29485"/>
    <cellStyle name="表体文字(小) 55 7" xfId="29487"/>
    <cellStyle name="表体文字(小) 55 8" xfId="29489"/>
    <cellStyle name="表体文字(小) 55 9" xfId="29491"/>
    <cellStyle name="表体文字(小) 56" xfId="29493"/>
    <cellStyle name="表体文字(小) 56 10" xfId="2076"/>
    <cellStyle name="表体文字(小) 56 2" xfId="29495"/>
    <cellStyle name="表体文字(小) 56 2 2" xfId="29497"/>
    <cellStyle name="表体文字(小) 56 2 3" xfId="11900"/>
    <cellStyle name="表体文字(小) 56 2 4" xfId="11903"/>
    <cellStyle name="表体文字(小) 56 2 5" xfId="14949"/>
    <cellStyle name="表体文字(小) 56 2 6" xfId="14976"/>
    <cellStyle name="表体文字(小) 56 2 7" xfId="15007"/>
    <cellStyle name="表体文字(小) 56 2 8" xfId="15011"/>
    <cellStyle name="表体文字(小) 56 3" xfId="29499"/>
    <cellStyle name="表体文字(小) 56 3 2" xfId="29501"/>
    <cellStyle name="表体文字(小) 56 3 3" xfId="11907"/>
    <cellStyle name="表体文字(小) 56 3 4" xfId="11910"/>
    <cellStyle name="表体文字(小) 56 3 5" xfId="15027"/>
    <cellStyle name="表体文字(小) 56 3 6" xfId="15058"/>
    <cellStyle name="表体文字(小) 56 3 7" xfId="15085"/>
    <cellStyle name="表体文字(小) 56 3 8" xfId="15089"/>
    <cellStyle name="表体文字(小) 56 4" xfId="29503"/>
    <cellStyle name="表体文字(小) 56 5" xfId="29505"/>
    <cellStyle name="表体文字(小) 56 6" xfId="29507"/>
    <cellStyle name="表体文字(小) 56 7" xfId="29509"/>
    <cellStyle name="表体文字(小) 56 8" xfId="29511"/>
    <cellStyle name="表体文字(小) 56 9" xfId="29513"/>
    <cellStyle name="表体文字(小) 57" xfId="26538"/>
    <cellStyle name="表体文字(小) 57 10" xfId="13727"/>
    <cellStyle name="表体文字(小) 57 2" xfId="29515"/>
    <cellStyle name="表体文字(小) 57 2 2" xfId="29518"/>
    <cellStyle name="表体文字(小) 57 2 3" xfId="11942"/>
    <cellStyle name="表体文字(小) 57 2 4" xfId="11945"/>
    <cellStyle name="表体文字(小) 57 2 5" xfId="29520"/>
    <cellStyle name="表体文字(小) 57 2 6" xfId="29522"/>
    <cellStyle name="表体文字(小) 57 2 7" xfId="29524"/>
    <cellStyle name="表体文字(小) 57 2 8" xfId="29526"/>
    <cellStyle name="表体文字(小) 57 3" xfId="29528"/>
    <cellStyle name="表体文字(小) 57 3 2" xfId="29531"/>
    <cellStyle name="表体文字(小) 57 3 3" xfId="11949"/>
    <cellStyle name="表体文字(小) 57 3 4" xfId="11952"/>
    <cellStyle name="表体文字(小) 57 3 5" xfId="29533"/>
    <cellStyle name="表体文字(小) 57 3 6" xfId="29535"/>
    <cellStyle name="表体文字(小) 57 3 7" xfId="29537"/>
    <cellStyle name="表体文字(小) 57 3 8" xfId="29539"/>
    <cellStyle name="表体文字(小) 57 4" xfId="29541"/>
    <cellStyle name="表体文字(小) 57 5" xfId="29544"/>
    <cellStyle name="表体文字(小) 57 6" xfId="29547"/>
    <cellStyle name="表体文字(小) 57 7" xfId="29550"/>
    <cellStyle name="表体文字(小) 57 8" xfId="29552"/>
    <cellStyle name="表体文字(小) 57 9" xfId="29556"/>
    <cellStyle name="表体文字(小) 58" xfId="26541"/>
    <cellStyle name="表体文字(小) 58 10" xfId="23118"/>
    <cellStyle name="表体文字(小) 58 2" xfId="29560"/>
    <cellStyle name="表体文字(小) 58 2 2" xfId="29563"/>
    <cellStyle name="表体文字(小) 58 2 3" xfId="29565"/>
    <cellStyle name="表体文字(小) 58 2 4" xfId="29567"/>
    <cellStyle name="表体文字(小) 58 2 5" xfId="29569"/>
    <cellStyle name="表体文字(小) 58 2 6" xfId="29571"/>
    <cellStyle name="表体文字(小) 58 2 7" xfId="29573"/>
    <cellStyle name="表体文字(小) 58 2 8" xfId="29575"/>
    <cellStyle name="表体文字(小) 58 3" xfId="29577"/>
    <cellStyle name="表体文字(小) 58 3 2" xfId="29580"/>
    <cellStyle name="表体文字(小) 58 3 3" xfId="29582"/>
    <cellStyle name="表体文字(小) 58 3 4" xfId="29584"/>
    <cellStyle name="表体文字(小) 58 3 5" xfId="29586"/>
    <cellStyle name="表体文字(小) 58 3 6" xfId="29588"/>
    <cellStyle name="表体文字(小) 58 3 7" xfId="29590"/>
    <cellStyle name="表体文字(小) 58 3 8" xfId="29592"/>
    <cellStyle name="表体文字(小) 58 4" xfId="29594"/>
    <cellStyle name="表体文字(小) 58 5" xfId="29597"/>
    <cellStyle name="表体文字(小) 58 6" xfId="29600"/>
    <cellStyle name="表体文字(小) 58 7" xfId="29603"/>
    <cellStyle name="表体文字(小) 58 8" xfId="29605"/>
    <cellStyle name="表体文字(小) 58 9" xfId="29609"/>
    <cellStyle name="表体文字(小) 59" xfId="26544"/>
    <cellStyle name="表体文字(小) 59 10" xfId="25739"/>
    <cellStyle name="表体文字(小) 59 2" xfId="29613"/>
    <cellStyle name="表体文字(小) 59 2 2" xfId="29616"/>
    <cellStyle name="表体文字(小) 59 2 3" xfId="29618"/>
    <cellStyle name="表体文字(小) 59 2 4" xfId="29620"/>
    <cellStyle name="表体文字(小) 59 2 5" xfId="29622"/>
    <cellStyle name="表体文字(小) 59 2 6" xfId="29624"/>
    <cellStyle name="表体文字(小) 59 2 7" xfId="29626"/>
    <cellStyle name="表体文字(小) 59 2 8" xfId="29628"/>
    <cellStyle name="表体文字(小) 59 3" xfId="29630"/>
    <cellStyle name="表体文字(小) 59 3 2" xfId="29633"/>
    <cellStyle name="表体文字(小) 59 3 3" xfId="29635"/>
    <cellStyle name="表体文字(小) 59 3 4" xfId="29637"/>
    <cellStyle name="表体文字(小) 59 3 5" xfId="29639"/>
    <cellStyle name="表体文字(小) 59 3 6" xfId="29641"/>
    <cellStyle name="表体文字(小) 59 3 7" xfId="5219"/>
    <cellStyle name="表体文字(小) 59 3 8" xfId="3923"/>
    <cellStyle name="表体文字(小) 59 4" xfId="29643"/>
    <cellStyle name="表体文字(小) 59 5" xfId="29646"/>
    <cellStyle name="表体文字(小) 59 6" xfId="29649"/>
    <cellStyle name="表体文字(小) 59 7" xfId="29652"/>
    <cellStyle name="表体文字(小) 59 8" xfId="29655"/>
    <cellStyle name="表体文字(小) 59 9" xfId="29657"/>
    <cellStyle name="表体文字(小) 6" xfId="23212"/>
    <cellStyle name="表体文字(小) 6 10" xfId="29659"/>
    <cellStyle name="表体文字(小) 6 2" xfId="29660"/>
    <cellStyle name="表体文字(小) 6 2 2" xfId="29661"/>
    <cellStyle name="表体文字(小) 6 2 3" xfId="29662"/>
    <cellStyle name="表体文字(小) 6 2 4" xfId="29663"/>
    <cellStyle name="表体文字(小) 6 2 5" xfId="29664"/>
    <cellStyle name="表体文字(小) 6 2 6" xfId="29665"/>
    <cellStyle name="表体文字(小) 6 2 7" xfId="29666"/>
    <cellStyle name="表体文字(小) 6 2 8" xfId="29667"/>
    <cellStyle name="表体文字(小) 6 3" xfId="29668"/>
    <cellStyle name="表体文字(小) 6 3 2" xfId="29669"/>
    <cellStyle name="表体文字(小) 6 3 3" xfId="29670"/>
    <cellStyle name="表体文字(小) 6 3 4" xfId="29671"/>
    <cellStyle name="表体文字(小) 6 3 5" xfId="29672"/>
    <cellStyle name="表体文字(小) 6 3 6" xfId="29673"/>
    <cellStyle name="表体文字(小) 6 3 7" xfId="29674"/>
    <cellStyle name="表体文字(小) 6 3 8" xfId="29675"/>
    <cellStyle name="表体文字(小) 6 4" xfId="29676"/>
    <cellStyle name="表体文字(小) 6 5" xfId="29677"/>
    <cellStyle name="表体文字(小) 6 6" xfId="29678"/>
    <cellStyle name="表体文字(小) 6 7" xfId="29679"/>
    <cellStyle name="表体文字(小) 6 8" xfId="29680"/>
    <cellStyle name="表体文字(小) 6 9" xfId="23940"/>
    <cellStyle name="表体文字(小) 60" xfId="29464"/>
    <cellStyle name="表体文字(小) 60 10" xfId="1497"/>
    <cellStyle name="表体文字(小) 60 2" xfId="29466"/>
    <cellStyle name="表体文字(小) 60 2 2" xfId="29468"/>
    <cellStyle name="表体文字(小) 60 2 3" xfId="29470"/>
    <cellStyle name="表体文字(小) 60 2 4" xfId="29472"/>
    <cellStyle name="表体文字(小) 60 2 5" xfId="13394"/>
    <cellStyle name="表体文字(小) 60 2 6" xfId="10791"/>
    <cellStyle name="表体文字(小) 60 2 7" xfId="10816"/>
    <cellStyle name="表体文字(小) 60 2 8" xfId="10831"/>
    <cellStyle name="表体文字(小) 60 3" xfId="29474"/>
    <cellStyle name="表体文字(小) 60 3 2" xfId="29476"/>
    <cellStyle name="表体文字(小) 60 3 3" xfId="29478"/>
    <cellStyle name="表体文字(小) 60 3 4" xfId="29480"/>
    <cellStyle name="表体文字(小) 60 3 5" xfId="13412"/>
    <cellStyle name="表体文字(小) 60 3 6" xfId="10853"/>
    <cellStyle name="表体文字(小) 60 3 7" xfId="10879"/>
    <cellStyle name="表体文字(小) 60 3 8" xfId="10897"/>
    <cellStyle name="表体文字(小) 60 4" xfId="29482"/>
    <cellStyle name="表体文字(小) 60 5" xfId="29484"/>
    <cellStyle name="表体文字(小) 60 6" xfId="29486"/>
    <cellStyle name="表体文字(小) 60 7" xfId="29488"/>
    <cellStyle name="表体文字(小) 60 8" xfId="29490"/>
    <cellStyle name="表体文字(小) 60 9" xfId="29492"/>
    <cellStyle name="表体文字(小) 61" xfId="29494"/>
    <cellStyle name="表体文字(小) 61 10" xfId="2075"/>
    <cellStyle name="表体文字(小) 61 2" xfId="29496"/>
    <cellStyle name="表体文字(小) 61 2 2" xfId="29498"/>
    <cellStyle name="表体文字(小) 61 2 3" xfId="11901"/>
    <cellStyle name="表体文字(小) 61 2 4" xfId="11904"/>
    <cellStyle name="表体文字(小) 61 2 5" xfId="14950"/>
    <cellStyle name="表体文字(小) 61 2 6" xfId="14977"/>
    <cellStyle name="表体文字(小) 61 2 7" xfId="15008"/>
    <cellStyle name="表体文字(小) 61 2 8" xfId="15012"/>
    <cellStyle name="表体文字(小) 61 3" xfId="29500"/>
    <cellStyle name="表体文字(小) 61 3 2" xfId="29502"/>
    <cellStyle name="表体文字(小) 61 3 3" xfId="11908"/>
    <cellStyle name="表体文字(小) 61 3 4" xfId="11911"/>
    <cellStyle name="表体文字(小) 61 3 5" xfId="15028"/>
    <cellStyle name="表体文字(小) 61 3 6" xfId="15059"/>
    <cellStyle name="表体文字(小) 61 3 7" xfId="15086"/>
    <cellStyle name="表体文字(小) 61 3 8" xfId="15090"/>
    <cellStyle name="表体文字(小) 61 4" xfId="29504"/>
    <cellStyle name="表体文字(小) 61 5" xfId="29506"/>
    <cellStyle name="表体文字(小) 61 6" xfId="29508"/>
    <cellStyle name="表体文字(小) 61 7" xfId="29510"/>
    <cellStyle name="表体文字(小) 61 8" xfId="29512"/>
    <cellStyle name="表体文字(小) 61 9" xfId="29514"/>
    <cellStyle name="表体文字(小) 62" xfId="26539"/>
    <cellStyle name="表体文字(小) 62 10" xfId="13728"/>
    <cellStyle name="表体文字(小) 62 2" xfId="29516"/>
    <cellStyle name="表体文字(小) 62 2 2" xfId="29519"/>
    <cellStyle name="表体文字(小) 62 2 3" xfId="11943"/>
    <cellStyle name="表体文字(小) 62 2 4" xfId="11946"/>
    <cellStyle name="表体文字(小) 62 2 5" xfId="29521"/>
    <cellStyle name="表体文字(小) 62 2 6" xfId="29523"/>
    <cellStyle name="表体文字(小) 62 2 7" xfId="29525"/>
    <cellStyle name="表体文字(小) 62 2 8" xfId="29527"/>
    <cellStyle name="表体文字(小) 62 3" xfId="29529"/>
    <cellStyle name="表体文字(小) 62 3 2" xfId="29532"/>
    <cellStyle name="表体文字(小) 62 3 3" xfId="11950"/>
    <cellStyle name="表体文字(小) 62 3 4" xfId="11953"/>
    <cellStyle name="表体文字(小) 62 3 5" xfId="29534"/>
    <cellStyle name="表体文字(小) 62 3 6" xfId="29536"/>
    <cellStyle name="表体文字(小) 62 3 7" xfId="29538"/>
    <cellStyle name="表体文字(小) 62 3 8" xfId="29540"/>
    <cellStyle name="表体文字(小) 62 4" xfId="29542"/>
    <cellStyle name="表体文字(小) 62 5" xfId="29545"/>
    <cellStyle name="表体文字(小) 62 6" xfId="29548"/>
    <cellStyle name="表体文字(小) 62 7" xfId="29551"/>
    <cellStyle name="表体文字(小) 62 8" xfId="29553"/>
    <cellStyle name="表体文字(小) 62 9" xfId="29557"/>
    <cellStyle name="表体文字(小) 63" xfId="26542"/>
    <cellStyle name="表体文字(小) 63 10" xfId="23119"/>
    <cellStyle name="表体文字(小) 63 2" xfId="29561"/>
    <cellStyle name="表体文字(小) 63 2 2" xfId="29564"/>
    <cellStyle name="表体文字(小) 63 2 3" xfId="29566"/>
    <cellStyle name="表体文字(小) 63 2 4" xfId="29568"/>
    <cellStyle name="表体文字(小) 63 2 5" xfId="29570"/>
    <cellStyle name="表体文字(小) 63 2 6" xfId="29572"/>
    <cellStyle name="表体文字(小) 63 2 7" xfId="29574"/>
    <cellStyle name="表体文字(小) 63 2 8" xfId="29576"/>
    <cellStyle name="表体文字(小) 63 3" xfId="29578"/>
    <cellStyle name="表体文字(小) 63 3 2" xfId="29581"/>
    <cellStyle name="表体文字(小) 63 3 3" xfId="29583"/>
    <cellStyle name="表体文字(小) 63 3 4" xfId="29585"/>
    <cellStyle name="表体文字(小) 63 3 5" xfId="29587"/>
    <cellStyle name="表体文字(小) 63 3 6" xfId="29589"/>
    <cellStyle name="表体文字(小) 63 3 7" xfId="29591"/>
    <cellStyle name="表体文字(小) 63 3 8" xfId="29593"/>
    <cellStyle name="表体文字(小) 63 4" xfId="29595"/>
    <cellStyle name="表体文字(小) 63 5" xfId="29598"/>
    <cellStyle name="表体文字(小) 63 6" xfId="29601"/>
    <cellStyle name="表体文字(小) 63 7" xfId="29604"/>
    <cellStyle name="表体文字(小) 63 8" xfId="29606"/>
    <cellStyle name="表体文字(小) 63 9" xfId="29610"/>
    <cellStyle name="表体文字(小) 64" xfId="26545"/>
    <cellStyle name="表体文字(小) 64 10" xfId="25740"/>
    <cellStyle name="表体文字(小) 64 2" xfId="29614"/>
    <cellStyle name="表体文字(小) 64 2 2" xfId="29617"/>
    <cellStyle name="表体文字(小) 64 2 3" xfId="29619"/>
    <cellStyle name="表体文字(小) 64 2 4" xfId="29621"/>
    <cellStyle name="表体文字(小) 64 2 5" xfId="29623"/>
    <cellStyle name="表体文字(小) 64 2 6" xfId="29625"/>
    <cellStyle name="表体文字(小) 64 2 7" xfId="29627"/>
    <cellStyle name="表体文字(小) 64 2 8" xfId="29629"/>
    <cellStyle name="表体文字(小) 64 3" xfId="29631"/>
    <cellStyle name="表体文字(小) 64 3 2" xfId="29634"/>
    <cellStyle name="表体文字(小) 64 3 3" xfId="29636"/>
    <cellStyle name="表体文字(小) 64 3 4" xfId="29638"/>
    <cellStyle name="表体文字(小) 64 3 5" xfId="29640"/>
    <cellStyle name="表体文字(小) 64 3 6" xfId="29642"/>
    <cellStyle name="表体文字(小) 64 3 7" xfId="5220"/>
    <cellStyle name="表体文字(小) 64 3 8" xfId="3922"/>
    <cellStyle name="表体文字(小) 64 4" xfId="29644"/>
    <cellStyle name="表体文字(小) 64 5" xfId="29647"/>
    <cellStyle name="表体文字(小) 64 6" xfId="29650"/>
    <cellStyle name="表体文字(小) 64 7" xfId="29653"/>
    <cellStyle name="表体文字(小) 64 8" xfId="29656"/>
    <cellStyle name="表体文字(小) 64 9" xfId="29658"/>
    <cellStyle name="表体文字(小) 65" xfId="26547"/>
    <cellStyle name="表体文字(小) 65 10" xfId="1580"/>
    <cellStyle name="表体文字(小) 65 2" xfId="29681"/>
    <cellStyle name="表体文字(小) 65 2 2" xfId="29683"/>
    <cellStyle name="表体文字(小) 65 2 3" xfId="29684"/>
    <cellStyle name="表体文字(小) 65 2 4" xfId="29685"/>
    <cellStyle name="表体文字(小) 65 2 5" xfId="29686"/>
    <cellStyle name="表体文字(小) 65 2 6" xfId="29687"/>
    <cellStyle name="表体文字(小) 65 2 7" xfId="29688"/>
    <cellStyle name="表体文字(小) 65 2 8" xfId="29689"/>
    <cellStyle name="表体文字(小) 65 3" xfId="29690"/>
    <cellStyle name="表体文字(小) 65 3 2" xfId="29692"/>
    <cellStyle name="表体文字(小) 65 3 3" xfId="29693"/>
    <cellStyle name="表体文字(小) 65 3 4" xfId="29694"/>
    <cellStyle name="表体文字(小) 65 3 5" xfId="29695"/>
    <cellStyle name="表体文字(小) 65 3 6" xfId="29696"/>
    <cellStyle name="表体文字(小) 65 3 7" xfId="29697"/>
    <cellStyle name="表体文字(小) 65 3 8" xfId="29698"/>
    <cellStyle name="表体文字(小) 65 4" xfId="29699"/>
    <cellStyle name="表体文字(小) 65 5" xfId="189"/>
    <cellStyle name="表体文字(小) 65 6" xfId="197"/>
    <cellStyle name="表体文字(小) 65 7" xfId="29701"/>
    <cellStyle name="表体文字(小) 65 8" xfId="29702"/>
    <cellStyle name="表体文字(小) 65 9" xfId="29703"/>
    <cellStyle name="表体文字(小) 66" xfId="26550"/>
    <cellStyle name="表体文字(小) 66 10" xfId="2379"/>
    <cellStyle name="表体文字(小) 66 2" xfId="29704"/>
    <cellStyle name="表体文字(小) 66 2 2" xfId="29706"/>
    <cellStyle name="表体文字(小) 66 2 3" xfId="29707"/>
    <cellStyle name="表体文字(小) 66 2 4" xfId="29708"/>
    <cellStyle name="表体文字(小) 66 2 5" xfId="29709"/>
    <cellStyle name="表体文字(小) 66 2 6" xfId="29710"/>
    <cellStyle name="表体文字(小) 66 2 7" xfId="29711"/>
    <cellStyle name="表体文字(小) 66 2 8" xfId="29712"/>
    <cellStyle name="表体文字(小) 66 3" xfId="29713"/>
    <cellStyle name="表体文字(小) 66 3 2" xfId="29715"/>
    <cellStyle name="表体文字(小) 66 3 3" xfId="29716"/>
    <cellStyle name="表体文字(小) 66 3 4" xfId="29717"/>
    <cellStyle name="表体文字(小) 66 3 5" xfId="29718"/>
    <cellStyle name="表体文字(小) 66 3 6" xfId="29719"/>
    <cellStyle name="表体文字(小) 66 3 7" xfId="29720"/>
    <cellStyle name="表体文字(小) 66 3 8" xfId="29721"/>
    <cellStyle name="表体文字(小) 66 4" xfId="29722"/>
    <cellStyle name="表体文字(小) 66 5" xfId="29724"/>
    <cellStyle name="表体文字(小) 66 6" xfId="29726"/>
    <cellStyle name="表体文字(小) 66 7" xfId="29728"/>
    <cellStyle name="表体文字(小) 66 8" xfId="29729"/>
    <cellStyle name="表体文字(小) 66 9" xfId="29730"/>
    <cellStyle name="表体文字(小) 67" xfId="26553"/>
    <cellStyle name="表体文字(小) 67 2" xfId="29731"/>
    <cellStyle name="表体文字(小) 67 3" xfId="29734"/>
    <cellStyle name="表体文字(小) 67 4" xfId="29737"/>
    <cellStyle name="表体文字(小) 67 5" xfId="29740"/>
    <cellStyle name="表体文字(小) 67 6" xfId="29743"/>
    <cellStyle name="表体文字(小) 67 7" xfId="29746"/>
    <cellStyle name="表体文字(小) 67 8" xfId="29747"/>
    <cellStyle name="表体文字(小) 68" xfId="26556"/>
    <cellStyle name="表体文字(小) 68 2" xfId="29748"/>
    <cellStyle name="表体文字(小) 68 3" xfId="29751"/>
    <cellStyle name="表体文字(小) 68 4" xfId="6189"/>
    <cellStyle name="表体文字(小) 68 5" xfId="6193"/>
    <cellStyle name="表体文字(小) 68 6" xfId="29754"/>
    <cellStyle name="表体文字(小) 68 7" xfId="29757"/>
    <cellStyle name="表体文字(小) 68 8" xfId="29758"/>
    <cellStyle name="表体文字(小) 69" xfId="29759"/>
    <cellStyle name="表体文字(小) 7" xfId="25858"/>
    <cellStyle name="表体文字(小) 7 10" xfId="18621"/>
    <cellStyle name="表体文字(小) 7 2" xfId="29761"/>
    <cellStyle name="表体文字(小) 7 2 2" xfId="9541"/>
    <cellStyle name="表体文字(小) 7 2 3" xfId="9543"/>
    <cellStyle name="表体文字(小) 7 2 4" xfId="9545"/>
    <cellStyle name="表体文字(小) 7 2 5" xfId="9547"/>
    <cellStyle name="表体文字(小) 7 2 6" xfId="9549"/>
    <cellStyle name="表体文字(小) 7 2 7" xfId="9551"/>
    <cellStyle name="表体文字(小) 7 2 8" xfId="9721"/>
    <cellStyle name="表体文字(小) 7 3" xfId="29762"/>
    <cellStyle name="表体文字(小) 7 3 2" xfId="9564"/>
    <cellStyle name="表体文字(小) 7 3 3" xfId="9566"/>
    <cellStyle name="表体文字(小) 7 3 4" xfId="9568"/>
    <cellStyle name="表体文字(小) 7 3 5" xfId="9570"/>
    <cellStyle name="表体文字(小) 7 3 6" xfId="9572"/>
    <cellStyle name="表体文字(小) 7 3 7" xfId="9574"/>
    <cellStyle name="表体文字(小) 7 3 8" xfId="29763"/>
    <cellStyle name="表体文字(小) 7 4" xfId="29764"/>
    <cellStyle name="表体文字(小) 7 5" xfId="29765"/>
    <cellStyle name="表体文字(小) 7 6" xfId="1699"/>
    <cellStyle name="表体文字(小) 7 7" xfId="1704"/>
    <cellStyle name="表体文字(小) 7 8" xfId="29766"/>
    <cellStyle name="表体文字(小) 7 9" xfId="26502"/>
    <cellStyle name="表体文字(小) 70" xfId="26548"/>
    <cellStyle name="表体文字(小) 71" xfId="26551"/>
    <cellStyle name="表体文字(小) 72" xfId="26554"/>
    <cellStyle name="表体文字(小) 73" xfId="26557"/>
    <cellStyle name="表体文字(小) 74" xfId="29760"/>
    <cellStyle name="表体文字(小) 75" xfId="2780"/>
    <cellStyle name="表体文字(小) 8" xfId="25865"/>
    <cellStyle name="表体文字(小) 8 10" xfId="29767"/>
    <cellStyle name="表体文字(小) 8 2" xfId="29768"/>
    <cellStyle name="表体文字(小) 8 2 2" xfId="3498"/>
    <cellStyle name="表体文字(小) 8 2 3" xfId="3504"/>
    <cellStyle name="表体文字(小) 8 2 4" xfId="3509"/>
    <cellStyle name="表体文字(小) 8 2 5" xfId="3514"/>
    <cellStyle name="表体文字(小) 8 2 6" xfId="3522"/>
    <cellStyle name="表体文字(小) 8 2 7" xfId="3527"/>
    <cellStyle name="表体文字(小) 8 2 8" xfId="4239"/>
    <cellStyle name="表体文字(小) 8 3" xfId="29769"/>
    <cellStyle name="表体文字(小) 8 3 2" xfId="3572"/>
    <cellStyle name="表体文字(小) 8 3 3" xfId="29770"/>
    <cellStyle name="表体文字(小) 8 3 4" xfId="29771"/>
    <cellStyle name="表体文字(小) 8 3 5" xfId="29772"/>
    <cellStyle name="表体文字(小) 8 3 6" xfId="29773"/>
    <cellStyle name="表体文字(小) 8 3 7" xfId="29774"/>
    <cellStyle name="表体文字(小) 8 3 8" xfId="29775"/>
    <cellStyle name="表体文字(小) 8 4" xfId="29776"/>
    <cellStyle name="表体文字(小) 8 5" xfId="29777"/>
    <cellStyle name="表体文字(小) 8 6" xfId="29778"/>
    <cellStyle name="表体文字(小) 8 7" xfId="29779"/>
    <cellStyle name="表体文字(小) 8 8" xfId="29780"/>
    <cellStyle name="表体文字(小) 8 9" xfId="29781"/>
    <cellStyle name="表体文字(小) 9" xfId="4829"/>
    <cellStyle name="表体文字(小) 9 10" xfId="29782"/>
    <cellStyle name="表体文字(小) 9 2" xfId="3533"/>
    <cellStyle name="表体文字(小) 9 2 2" xfId="29786"/>
    <cellStyle name="表体文字(小) 9 2 3" xfId="29787"/>
    <cellStyle name="表体文字(小) 9 2 4" xfId="29788"/>
    <cellStyle name="表体文字(小) 9 2 5" xfId="29789"/>
    <cellStyle name="表体文字(小) 9 2 6" xfId="29790"/>
    <cellStyle name="表体文字(小) 9 2 7" xfId="29791"/>
    <cellStyle name="表体文字(小) 9 2 8" xfId="29792"/>
    <cellStyle name="表体文字(小) 9 3" xfId="3536"/>
    <cellStyle name="表体文字(小) 9 3 2" xfId="6739"/>
    <cellStyle name="表体文字(小) 9 3 3" xfId="29793"/>
    <cellStyle name="表体文字(小) 9 3 4" xfId="29794"/>
    <cellStyle name="表体文字(小) 9 3 5" xfId="29795"/>
    <cellStyle name="表体文字(小) 9 3 6" xfId="29796"/>
    <cellStyle name="表体文字(小) 9 3 7" xfId="29797"/>
    <cellStyle name="表体文字(小) 9 3 8" xfId="29798"/>
    <cellStyle name="表体文字(小) 9 4" xfId="1645"/>
    <cellStyle name="表体文字(小) 9 5" xfId="1229"/>
    <cellStyle name="表体文字(小) 9 6" xfId="7163"/>
    <cellStyle name="表体文字(小) 9 7" xfId="7166"/>
    <cellStyle name="表体文字(小) 9 8" xfId="7168"/>
    <cellStyle name="表体文字(小) 9 9" xfId="29799"/>
    <cellStyle name="表体文字_Excel陶圆第三合同段签证部分土建" xfId="29800"/>
    <cellStyle name="表体文字居中" xfId="29801"/>
    <cellStyle name="表体文字居中 10" xfId="29802"/>
    <cellStyle name="表体文字居中 10 10" xfId="18099"/>
    <cellStyle name="表体文字居中 10 2" xfId="29803"/>
    <cellStyle name="表体文字居中 10 2 2" xfId="29804"/>
    <cellStyle name="表体文字居中 10 2 3" xfId="29805"/>
    <cellStyle name="表体文字居中 10 2 4" xfId="29806"/>
    <cellStyle name="表体文字居中 10 2 5" xfId="29807"/>
    <cellStyle name="表体文字居中 10 2 6" xfId="29808"/>
    <cellStyle name="表体文字居中 10 2 7" xfId="21214"/>
    <cellStyle name="表体文字居中 10 2 8" xfId="21217"/>
    <cellStyle name="表体文字居中 10 3" xfId="29811"/>
    <cellStyle name="表体文字居中 10 3 2" xfId="29812"/>
    <cellStyle name="表体文字居中 10 3 3" xfId="29813"/>
    <cellStyle name="表体文字居中 10 3 4" xfId="29814"/>
    <cellStyle name="表体文字居中 10 3 5" xfId="29815"/>
    <cellStyle name="表体文字居中 10 3 6" xfId="29816"/>
    <cellStyle name="表体文字居中 10 3 7" xfId="21228"/>
    <cellStyle name="表体文字居中 10 3 8" xfId="21231"/>
    <cellStyle name="表体文字居中 10 4" xfId="29817"/>
    <cellStyle name="表体文字居中 10 5" xfId="29818"/>
    <cellStyle name="表体文字居中 10 6" xfId="29819"/>
    <cellStyle name="表体文字居中 10 7" xfId="29820"/>
    <cellStyle name="表体文字居中 10 8" xfId="29821"/>
    <cellStyle name="表体文字居中 10 9" xfId="29822"/>
    <cellStyle name="表体文字居中 11" xfId="29823"/>
    <cellStyle name="表体文字居中 11 10" xfId="29824"/>
    <cellStyle name="表体文字居中 11 2" xfId="29827"/>
    <cellStyle name="表体文字居中 11 2 2" xfId="29828"/>
    <cellStyle name="表体文字居中 11 2 3" xfId="29829"/>
    <cellStyle name="表体文字居中 11 2 4" xfId="29830"/>
    <cellStyle name="表体文字居中 11 2 5" xfId="29831"/>
    <cellStyle name="表体文字居中 11 2 6" xfId="29832"/>
    <cellStyle name="表体文字居中 11 2 7" xfId="21260"/>
    <cellStyle name="表体文字居中 11 2 8" xfId="249"/>
    <cellStyle name="表体文字居中 11 3" xfId="29833"/>
    <cellStyle name="表体文字居中 11 3 2" xfId="29834"/>
    <cellStyle name="表体文字居中 11 3 3" xfId="29835"/>
    <cellStyle name="表体文字居中 11 3 4" xfId="29836"/>
    <cellStyle name="表体文字居中 11 3 5" xfId="29837"/>
    <cellStyle name="表体文字居中 11 3 6" xfId="9928"/>
    <cellStyle name="表体文字居中 11 3 7" xfId="9932"/>
    <cellStyle name="表体文字居中 11 3 8" xfId="4929"/>
    <cellStyle name="表体文字居中 11 4" xfId="29838"/>
    <cellStyle name="表体文字居中 11 5" xfId="29839"/>
    <cellStyle name="表体文字居中 11 6" xfId="29840"/>
    <cellStyle name="表体文字居中 11 7" xfId="29841"/>
    <cellStyle name="表体文字居中 11 8" xfId="29842"/>
    <cellStyle name="表体文字居中 11 9" xfId="29843"/>
    <cellStyle name="表体文字居中 12" xfId="29844"/>
    <cellStyle name="表体文字居中 12 10" xfId="9148"/>
    <cellStyle name="表体文字居中 12 2" xfId="29847"/>
    <cellStyle name="表体文字居中 12 2 2" xfId="29848"/>
    <cellStyle name="表体文字居中 12 2 3" xfId="29849"/>
    <cellStyle name="表体文字居中 12 2 4" xfId="29850"/>
    <cellStyle name="表体文字居中 12 2 5" xfId="29851"/>
    <cellStyle name="表体文字居中 12 2 6" xfId="29852"/>
    <cellStyle name="表体文字居中 12 2 7" xfId="21289"/>
    <cellStyle name="表体文字居中 12 2 8" xfId="21291"/>
    <cellStyle name="表体文字居中 12 3" xfId="29855"/>
    <cellStyle name="表体文字居中 12 3 2" xfId="9092"/>
    <cellStyle name="表体文字居中 12 3 3" xfId="9096"/>
    <cellStyle name="表体文字居中 12 3 4" xfId="9099"/>
    <cellStyle name="表体文字居中 12 3 5" xfId="9113"/>
    <cellStyle name="表体文字居中 12 3 6" xfId="9116"/>
    <cellStyle name="表体文字居中 12 3 7" xfId="9120"/>
    <cellStyle name="表体文字居中 12 3 8" xfId="9124"/>
    <cellStyle name="表体文字居中 12 4" xfId="29858"/>
    <cellStyle name="表体文字居中 12 5" xfId="29861"/>
    <cellStyle name="表体文字居中 12 6" xfId="29864"/>
    <cellStyle name="表体文字居中 12 7" xfId="29867"/>
    <cellStyle name="表体文字居中 12 8" xfId="29870"/>
    <cellStyle name="表体文字居中 12 9" xfId="29873"/>
    <cellStyle name="表体文字居中 13" xfId="29874"/>
    <cellStyle name="表体文字居中 13 10" xfId="13997"/>
    <cellStyle name="表体文字居中 13 2" xfId="29876"/>
    <cellStyle name="表体文字居中 13 2 2" xfId="29877"/>
    <cellStyle name="表体文字居中 13 2 3" xfId="29878"/>
    <cellStyle name="表体文字居中 13 2 4" xfId="29879"/>
    <cellStyle name="表体文字居中 13 2 5" xfId="29880"/>
    <cellStyle name="表体文字居中 13 2 6" xfId="29881"/>
    <cellStyle name="表体文字居中 13 2 7" xfId="29882"/>
    <cellStyle name="表体文字居中 13 2 8" xfId="29883"/>
    <cellStyle name="表体文字居中 13 3" xfId="29884"/>
    <cellStyle name="表体文字居中 13 3 2" xfId="29885"/>
    <cellStyle name="表体文字居中 13 3 3" xfId="29886"/>
    <cellStyle name="表体文字居中 13 3 4" xfId="29887"/>
    <cellStyle name="表体文字居中 13 3 5" xfId="3111"/>
    <cellStyle name="表体文字居中 13 3 6" xfId="5114"/>
    <cellStyle name="表体文字居中 13 3 7" xfId="5163"/>
    <cellStyle name="表体文字居中 13 3 8" xfId="5166"/>
    <cellStyle name="表体文字居中 13 4" xfId="29888"/>
    <cellStyle name="表体文字居中 13 5" xfId="29889"/>
    <cellStyle name="表体文字居中 13 6" xfId="29890"/>
    <cellStyle name="表体文字居中 13 7" xfId="29891"/>
    <cellStyle name="表体文字居中 13 8" xfId="29892"/>
    <cellStyle name="表体文字居中 13 9" xfId="29893"/>
    <cellStyle name="表体文字居中 14" xfId="29894"/>
    <cellStyle name="表体文字居中 14 10" xfId="6655"/>
    <cellStyle name="表体文字居中 14 2" xfId="29895"/>
    <cellStyle name="表体文字居中 14 2 2" xfId="29896"/>
    <cellStyle name="表体文字居中 14 2 3" xfId="29897"/>
    <cellStyle name="表体文字居中 14 2 4" xfId="8535"/>
    <cellStyle name="表体文字居中 14 2 5" xfId="8537"/>
    <cellStyle name="表体文字居中 14 2 6" xfId="15788"/>
    <cellStyle name="表体文字居中 14 2 7" xfId="15797"/>
    <cellStyle name="表体文字居中 14 2 8" xfId="15816"/>
    <cellStyle name="表体文字居中 14 3" xfId="29898"/>
    <cellStyle name="表体文字居中 14 3 2" xfId="6557"/>
    <cellStyle name="表体文字居中 14 3 3" xfId="6559"/>
    <cellStyle name="表体文字居中 14 3 4" xfId="3194"/>
    <cellStyle name="表体文字居中 14 3 5" xfId="3198"/>
    <cellStyle name="表体文字居中 14 3 6" xfId="6564"/>
    <cellStyle name="表体文字居中 14 3 7" xfId="6569"/>
    <cellStyle name="表体文字居中 14 3 8" xfId="6573"/>
    <cellStyle name="表体文字居中 14 4" xfId="29899"/>
    <cellStyle name="表体文字居中 14 5" xfId="9757"/>
    <cellStyle name="表体文字居中 14 6" xfId="29900"/>
    <cellStyle name="表体文字居中 14 7" xfId="29901"/>
    <cellStyle name="表体文字居中 14 8" xfId="29902"/>
    <cellStyle name="表体文字居中 14 9" xfId="29903"/>
    <cellStyle name="表体文字居中 15" xfId="29904"/>
    <cellStyle name="表体文字居中 15 10" xfId="18148"/>
    <cellStyle name="表体文字居中 15 2" xfId="29906"/>
    <cellStyle name="表体文字居中 15 2 2" xfId="29908"/>
    <cellStyle name="表体文字居中 15 2 3" xfId="29912"/>
    <cellStyle name="表体文字居中 15 2 4" xfId="29916"/>
    <cellStyle name="表体文字居中 15 2 5" xfId="29920"/>
    <cellStyle name="表体文字居中 15 2 6" xfId="29924"/>
    <cellStyle name="表体文字居中 15 2 7" xfId="29928"/>
    <cellStyle name="表体文字居中 15 2 8" xfId="29932"/>
    <cellStyle name="表体文字居中 15 3" xfId="29937"/>
    <cellStyle name="表体文字居中 15 3 2" xfId="29939"/>
    <cellStyle name="表体文字居中 15 3 3" xfId="29944"/>
    <cellStyle name="表体文字居中 15 3 4" xfId="29948"/>
    <cellStyle name="表体文字居中 15 3 5" xfId="29952"/>
    <cellStyle name="表体文字居中 15 3 6" xfId="10037"/>
    <cellStyle name="表体文字居中 15 3 7" xfId="10042"/>
    <cellStyle name="表体文字居中 15 3 8" xfId="10047"/>
    <cellStyle name="表体文字居中 15 4" xfId="29956"/>
    <cellStyle name="表体文字居中 15 5" xfId="29958"/>
    <cellStyle name="表体文字居中 15 6" xfId="29960"/>
    <cellStyle name="表体文字居中 15 7" xfId="29962"/>
    <cellStyle name="表体文字居中 15 8" xfId="29964"/>
    <cellStyle name="表体文字居中 15 9" xfId="29966"/>
    <cellStyle name="表体文字居中 16" xfId="29968"/>
    <cellStyle name="表体文字居中 16 10" xfId="29970"/>
    <cellStyle name="表体文字居中 16 2" xfId="29974"/>
    <cellStyle name="表体文字居中 16 2 2" xfId="29976"/>
    <cellStyle name="表体文字居中 16 2 3" xfId="29979"/>
    <cellStyle name="表体文字居中 16 2 4" xfId="29982"/>
    <cellStyle name="表体文字居中 16 2 5" xfId="29985"/>
    <cellStyle name="表体文字居中 16 2 6" xfId="29988"/>
    <cellStyle name="表体文字居中 16 2 7" xfId="29991"/>
    <cellStyle name="表体文字居中 16 2 8" xfId="29994"/>
    <cellStyle name="表体文字居中 16 3" xfId="29910"/>
    <cellStyle name="表体文字居中 16 3 2" xfId="29997"/>
    <cellStyle name="表体文字居中 16 3 3" xfId="30000"/>
    <cellStyle name="表体文字居中 16 3 4" xfId="30003"/>
    <cellStyle name="表体文字居中 16 3 5" xfId="30006"/>
    <cellStyle name="表体文字居中 16 3 6" xfId="10084"/>
    <cellStyle name="表体文字居中 16 3 7" xfId="10089"/>
    <cellStyle name="表体文字居中 16 3 8" xfId="10094"/>
    <cellStyle name="表体文字居中 16 4" xfId="29914"/>
    <cellStyle name="表体文字居中 16 5" xfId="29918"/>
    <cellStyle name="表体文字居中 16 6" xfId="29922"/>
    <cellStyle name="表体文字居中 16 7" xfId="29926"/>
    <cellStyle name="表体文字居中 16 8" xfId="29930"/>
    <cellStyle name="表体文字居中 16 9" xfId="29934"/>
    <cellStyle name="表体文字居中 17" xfId="30009"/>
    <cellStyle name="表体文字居中 17 10" xfId="30011"/>
    <cellStyle name="表体文字居中 17 2" xfId="30013"/>
    <cellStyle name="表体文字居中 17 2 2" xfId="2062"/>
    <cellStyle name="表体文字居中 17 2 3" xfId="2069"/>
    <cellStyle name="表体文字居中 17 2 4" xfId="5847"/>
    <cellStyle name="表体文字居中 17 2 5" xfId="5422"/>
    <cellStyle name="表体文字居中 17 2 6" xfId="30015"/>
    <cellStyle name="表体文字居中 17 2 7" xfId="30017"/>
    <cellStyle name="表体文字居中 17 2 8" xfId="30019"/>
    <cellStyle name="表体文字居中 17 3" xfId="29941"/>
    <cellStyle name="表体文字居中 17 3 2" xfId="30021"/>
    <cellStyle name="表体文字居中 17 3 3" xfId="30023"/>
    <cellStyle name="表体文字居中 17 3 4" xfId="30025"/>
    <cellStyle name="表体文字居中 17 3 5" xfId="30027"/>
    <cellStyle name="表体文字居中 17 3 6" xfId="10143"/>
    <cellStyle name="表体文字居中 17 3 7" xfId="10147"/>
    <cellStyle name="表体文字居中 17 3 8" xfId="10151"/>
    <cellStyle name="表体文字居中 17 4" xfId="29946"/>
    <cellStyle name="表体文字居中 17 5" xfId="29950"/>
    <cellStyle name="表体文字居中 17 6" xfId="29954"/>
    <cellStyle name="表体文字居中 17 7" xfId="10039"/>
    <cellStyle name="表体文字居中 17 8" xfId="10044"/>
    <cellStyle name="表体文字居中 17 9" xfId="10049"/>
    <cellStyle name="表体文字居中 18" xfId="30029"/>
    <cellStyle name="表体文字居中 18 10" xfId="14071"/>
    <cellStyle name="表体文字居中 18 2" xfId="30031"/>
    <cellStyle name="表体文字居中 18 2 2" xfId="27449"/>
    <cellStyle name="表体文字居中 18 2 3" xfId="27452"/>
    <cellStyle name="表体文字居中 18 2 4" xfId="29260"/>
    <cellStyle name="表体文字居中 18 2 5" xfId="30033"/>
    <cellStyle name="表体文字居中 18 2 6" xfId="30035"/>
    <cellStyle name="表体文字居中 18 2 7" xfId="30037"/>
    <cellStyle name="表体文字居中 18 2 8" xfId="30039"/>
    <cellStyle name="表体文字居中 18 3" xfId="30041"/>
    <cellStyle name="表体文字居中 18 3 2" xfId="27489"/>
    <cellStyle name="表体文字居中 18 3 3" xfId="27494"/>
    <cellStyle name="表体文字居中 18 3 4" xfId="30043"/>
    <cellStyle name="表体文字居中 18 3 5" xfId="30045"/>
    <cellStyle name="表体文字居中 18 3 6" xfId="10193"/>
    <cellStyle name="表体文字居中 18 3 7" xfId="10197"/>
    <cellStyle name="表体文字居中 18 3 8" xfId="10201"/>
    <cellStyle name="表体文字居中 18 4" xfId="30047"/>
    <cellStyle name="表体文字居中 18 5" xfId="4333"/>
    <cellStyle name="表体文字居中 18 6" xfId="30049"/>
    <cellStyle name="表体文字居中 18 7" xfId="10058"/>
    <cellStyle name="表体文字居中 18 8" xfId="10061"/>
    <cellStyle name="表体文字居中 18 9" xfId="10064"/>
    <cellStyle name="表体文字居中 19" xfId="30051"/>
    <cellStyle name="表体文字居中 19 10" xfId="26723"/>
    <cellStyle name="表体文字居中 19 2" xfId="30053"/>
    <cellStyle name="表体文字居中 19 2 2" xfId="29554"/>
    <cellStyle name="表体文字居中 19 2 3" xfId="29558"/>
    <cellStyle name="表体文字居中 19 2 4" xfId="29783"/>
    <cellStyle name="表体文字居中 19 2 5" xfId="30055"/>
    <cellStyle name="表体文字居中 19 2 6" xfId="13334"/>
    <cellStyle name="表体文字居中 19 2 7" xfId="2935"/>
    <cellStyle name="表体文字居中 19 2 8" xfId="13339"/>
    <cellStyle name="表体文字居中 19 3" xfId="30057"/>
    <cellStyle name="表体文字居中 19 3 2" xfId="29607"/>
    <cellStyle name="表体文字居中 19 3 3" xfId="29611"/>
    <cellStyle name="表体文字居中 19 3 4" xfId="30059"/>
    <cellStyle name="表体文字居中 19 3 5" xfId="30061"/>
    <cellStyle name="表体文字居中 19 3 6" xfId="3478"/>
    <cellStyle name="表体文字居中 19 3 7" xfId="10248"/>
    <cellStyle name="表体文字居中 19 3 8" xfId="10255"/>
    <cellStyle name="表体文字居中 19 4" xfId="9398"/>
    <cellStyle name="表体文字居中 19 5" xfId="9401"/>
    <cellStyle name="表体文字居中 19 6" xfId="30063"/>
    <cellStyle name="表体文字居中 19 7" xfId="30065"/>
    <cellStyle name="表体文字居中 19 8" xfId="30067"/>
    <cellStyle name="表体文字居中 19 9" xfId="30069"/>
    <cellStyle name="表体文字居中 2" xfId="5457"/>
    <cellStyle name="表体文字居中 2 10" xfId="17271"/>
    <cellStyle name="表体文字居中 2 10 10" xfId="30072"/>
    <cellStyle name="表体文字居中 2 10 2" xfId="28085"/>
    <cellStyle name="表体文字居中 2 10 2 2" xfId="30073"/>
    <cellStyle name="表体文字居中 2 10 2 3" xfId="30074"/>
    <cellStyle name="表体文字居中 2 10 2 4" xfId="30075"/>
    <cellStyle name="表体文字居中 2 10 2 5" xfId="30076"/>
    <cellStyle name="表体文字居中 2 10 2 6" xfId="30077"/>
    <cellStyle name="表体文字居中 2 10 2 7" xfId="30078"/>
    <cellStyle name="表体文字居中 2 10 2 8" xfId="26268"/>
    <cellStyle name="表体文字居中 2 10 3" xfId="28089"/>
    <cellStyle name="表体文字居中 2 10 3 2" xfId="30080"/>
    <cellStyle name="表体文字居中 2 10 3 3" xfId="30082"/>
    <cellStyle name="表体文字居中 2 10 3 4" xfId="30084"/>
    <cellStyle name="表体文字居中 2 10 3 5" xfId="30086"/>
    <cellStyle name="表体文字居中 2 10 3 6" xfId="30088"/>
    <cellStyle name="表体文字居中 2 10 3 7" xfId="30090"/>
    <cellStyle name="表体文字居中 2 10 3 8" xfId="30092"/>
    <cellStyle name="表体文字居中 2 10 4" xfId="28093"/>
    <cellStyle name="表体文字居中 2 10 5" xfId="28097"/>
    <cellStyle name="表体文字居中 2 10 6" xfId="28101"/>
    <cellStyle name="表体文字居中 2 10 7" xfId="28105"/>
    <cellStyle name="表体文字居中 2 10 8" xfId="30094"/>
    <cellStyle name="表体文字居中 2 10 9" xfId="30096"/>
    <cellStyle name="表体文字居中 2 11" xfId="6941"/>
    <cellStyle name="表体文字居中 2 11 10" xfId="30097"/>
    <cellStyle name="表体文字居中 2 11 2" xfId="6950"/>
    <cellStyle name="表体文字居中 2 11 2 2" xfId="12614"/>
    <cellStyle name="表体文字居中 2 11 2 3" xfId="12617"/>
    <cellStyle name="表体文字居中 2 11 2 4" xfId="30098"/>
    <cellStyle name="表体文字居中 2 11 2 5" xfId="30100"/>
    <cellStyle name="表体文字居中 2 11 2 6" xfId="30101"/>
    <cellStyle name="表体文字居中 2 11 2 7" xfId="30102"/>
    <cellStyle name="表体文字居中 2 11 2 8" xfId="26328"/>
    <cellStyle name="表体文字居中 2 11 3" xfId="6954"/>
    <cellStyle name="表体文字居中 2 11 3 2" xfId="1175"/>
    <cellStyle name="表体文字居中 2 11 3 3" xfId="1181"/>
    <cellStyle name="表体文字居中 2 11 3 4" xfId="1187"/>
    <cellStyle name="表体文字居中 2 11 3 5" xfId="1195"/>
    <cellStyle name="表体文字居中 2 11 3 6" xfId="1203"/>
    <cellStyle name="表体文字居中 2 11 3 7" xfId="6342"/>
    <cellStyle name="表体文字居中 2 11 3 8" xfId="6347"/>
    <cellStyle name="表体文字居中 2 11 4" xfId="6960"/>
    <cellStyle name="表体文字居中 2 11 5" xfId="6964"/>
    <cellStyle name="表体文字居中 2 11 6" xfId="28110"/>
    <cellStyle name="表体文字居中 2 11 7" xfId="28113"/>
    <cellStyle name="表体文字居中 2 11 8" xfId="30103"/>
    <cellStyle name="表体文字居中 2 11 9" xfId="30104"/>
    <cellStyle name="表体文字居中 2 12" xfId="5949"/>
    <cellStyle name="表体文字居中 2 12 10" xfId="10823"/>
    <cellStyle name="表体文字居中 2 12 2" xfId="30105"/>
    <cellStyle name="表体文字居中 2 12 2 2" xfId="30106"/>
    <cellStyle name="表体文字居中 2 12 2 3" xfId="30107"/>
    <cellStyle name="表体文字居中 2 12 2 4" xfId="30108"/>
    <cellStyle name="表体文字居中 2 12 2 5" xfId="30111"/>
    <cellStyle name="表体文字居中 2 12 2 6" xfId="30112"/>
    <cellStyle name="表体文字居中 2 12 2 7" xfId="30113"/>
    <cellStyle name="表体文字居中 2 12 2 8" xfId="26373"/>
    <cellStyle name="表体文字居中 2 12 3" xfId="30114"/>
    <cellStyle name="表体文字居中 2 12 3 2" xfId="30115"/>
    <cellStyle name="表体文字居中 2 12 3 3" xfId="30116"/>
    <cellStyle name="表体文字居中 2 12 3 4" xfId="30117"/>
    <cellStyle name="表体文字居中 2 12 3 5" xfId="30118"/>
    <cellStyle name="表体文字居中 2 12 3 6" xfId="30119"/>
    <cellStyle name="表体文字居中 2 12 3 7" xfId="30120"/>
    <cellStyle name="表体文字居中 2 12 3 8" xfId="30121"/>
    <cellStyle name="表体文字居中 2 12 4" xfId="30122"/>
    <cellStyle name="表体文字居中 2 12 5" xfId="30123"/>
    <cellStyle name="表体文字居中 2 12 6" xfId="5410"/>
    <cellStyle name="表体文字居中 2 12 7" xfId="30124"/>
    <cellStyle name="表体文字居中 2 12 8" xfId="30125"/>
    <cellStyle name="表体文字居中 2 12 9" xfId="30126"/>
    <cellStyle name="表体文字居中 2 13" xfId="110"/>
    <cellStyle name="表体文字居中 2 13 10" xfId="30127"/>
    <cellStyle name="表体文字居中 2 13 2" xfId="30128"/>
    <cellStyle name="表体文字居中 2 13 2 2" xfId="30129"/>
    <cellStyle name="表体文字居中 2 13 2 3" xfId="30130"/>
    <cellStyle name="表体文字居中 2 13 2 4" xfId="30131"/>
    <cellStyle name="表体文字居中 2 13 2 5" xfId="30134"/>
    <cellStyle name="表体文字居中 2 13 2 6" xfId="30135"/>
    <cellStyle name="表体文字居中 2 13 2 7" xfId="30136"/>
    <cellStyle name="表体文字居中 2 13 2 8" xfId="26408"/>
    <cellStyle name="表体文字居中 2 13 3" xfId="30137"/>
    <cellStyle name="表体文字居中 2 13 3 2" xfId="30138"/>
    <cellStyle name="表体文字居中 2 13 3 3" xfId="30139"/>
    <cellStyle name="表体文字居中 2 13 3 4" xfId="30140"/>
    <cellStyle name="表体文字居中 2 13 3 5" xfId="30141"/>
    <cellStyle name="表体文字居中 2 13 3 6" xfId="30142"/>
    <cellStyle name="表体文字居中 2 13 3 7" xfId="30143"/>
    <cellStyle name="表体文字居中 2 13 3 8" xfId="30144"/>
    <cellStyle name="表体文字居中 2 13 4" xfId="30145"/>
    <cellStyle name="表体文字居中 2 13 5" xfId="30146"/>
    <cellStyle name="表体文字居中 2 13 6" xfId="30147"/>
    <cellStyle name="表体文字居中 2 13 7" xfId="30148"/>
    <cellStyle name="表体文字居中 2 13 8" xfId="30149"/>
    <cellStyle name="表体文字居中 2 13 9" xfId="30150"/>
    <cellStyle name="表体文字居中 2 14" xfId="4652"/>
    <cellStyle name="表体文字居中 2 14 10" xfId="16912"/>
    <cellStyle name="表体文字居中 2 14 2" xfId="30151"/>
    <cellStyle name="表体文字居中 2 14 2 2" xfId="27893"/>
    <cellStyle name="表体文字居中 2 14 2 3" xfId="27926"/>
    <cellStyle name="表体文字居中 2 14 2 4" xfId="27979"/>
    <cellStyle name="表体文字居中 2 14 2 5" xfId="28006"/>
    <cellStyle name="表体文字居中 2 14 2 6" xfId="28032"/>
    <cellStyle name="表体文字居中 2 14 2 7" xfId="28079"/>
    <cellStyle name="表体文字居中 2 14 2 8" xfId="26456"/>
    <cellStyle name="表体文字居中 2 14 3" xfId="30152"/>
    <cellStyle name="表体文字居中 2 14 3 2" xfId="28910"/>
    <cellStyle name="表体文字居中 2 14 3 3" xfId="28913"/>
    <cellStyle name="表体文字居中 2 14 3 4" xfId="28918"/>
    <cellStyle name="表体文字居中 2 14 3 5" xfId="28921"/>
    <cellStyle name="表体文字居中 2 14 3 6" xfId="30153"/>
    <cellStyle name="表体文字居中 2 14 3 7" xfId="30154"/>
    <cellStyle name="表体文字居中 2 14 3 8" xfId="30155"/>
    <cellStyle name="表体文字居中 2 14 4" xfId="30156"/>
    <cellStyle name="表体文字居中 2 14 5" xfId="30157"/>
    <cellStyle name="表体文字居中 2 14 6" xfId="30158"/>
    <cellStyle name="表体文字居中 2 14 7" xfId="30159"/>
    <cellStyle name="表体文字居中 2 14 8" xfId="30160"/>
    <cellStyle name="表体文字居中 2 14 9" xfId="30161"/>
    <cellStyle name="表体文字居中 2 15" xfId="4659"/>
    <cellStyle name="表体文字居中 2 15 10" xfId="30162"/>
    <cellStyle name="表体文字居中 2 15 2" xfId="4814"/>
    <cellStyle name="表体文字居中 2 15 2 2" xfId="23185"/>
    <cellStyle name="表体文字居中 2 15 2 3" xfId="23190"/>
    <cellStyle name="表体文字居中 2 15 2 4" xfId="23197"/>
    <cellStyle name="表体文字居中 2 15 2 5" xfId="23206"/>
    <cellStyle name="表体文字居中 2 15 2 6" xfId="23213"/>
    <cellStyle name="表体文字居中 2 15 2 7" xfId="25859"/>
    <cellStyle name="表体文字居中 2 15 2 8" xfId="25866"/>
    <cellStyle name="表体文字居中 2 15 3" xfId="30164"/>
    <cellStyle name="表体文字居中 2 15 3 2" xfId="23285"/>
    <cellStyle name="表体文字居中 2 15 3 3" xfId="23289"/>
    <cellStyle name="表体文字居中 2 15 3 4" xfId="23296"/>
    <cellStyle name="表体文字居中 2 15 3 5" xfId="23303"/>
    <cellStyle name="表体文字居中 2 15 3 6" xfId="23310"/>
    <cellStyle name="表体文字居中 2 15 3 7" xfId="25923"/>
    <cellStyle name="表体文字居中 2 15 3 8" xfId="25928"/>
    <cellStyle name="表体文字居中 2 15 4" xfId="30166"/>
    <cellStyle name="表体文字居中 2 15 5" xfId="30168"/>
    <cellStyle name="表体文字居中 2 15 6" xfId="30170"/>
    <cellStyle name="表体文字居中 2 15 7" xfId="30172"/>
    <cellStyle name="表体文字居中 2 15 8" xfId="30174"/>
    <cellStyle name="表体文字居中 2 15 9" xfId="30176"/>
    <cellStyle name="表体文字居中 2 16" xfId="5959"/>
    <cellStyle name="表体文字居中 2 16 10" xfId="5077"/>
    <cellStyle name="表体文字居中 2 16 2" xfId="30178"/>
    <cellStyle name="表体文字居中 2 16 2 2" xfId="30180"/>
    <cellStyle name="表体文字居中 2 16 2 3" xfId="30182"/>
    <cellStyle name="表体文字居中 2 16 2 4" xfId="26690"/>
    <cellStyle name="表体文字居中 2 16 2 5" xfId="26695"/>
    <cellStyle name="表体文字居中 2 16 2 6" xfId="26698"/>
    <cellStyle name="表体文字居中 2 16 2 7" xfId="26701"/>
    <cellStyle name="表体文字居中 2 16 2 8" xfId="26572"/>
    <cellStyle name="表体文字居中 2 16 3" xfId="30184"/>
    <cellStyle name="表体文字居中 2 16 3 2" xfId="30188"/>
    <cellStyle name="表体文字居中 2 16 3 3" xfId="30190"/>
    <cellStyle name="表体文字居中 2 16 3 4" xfId="30192"/>
    <cellStyle name="表体文字居中 2 16 3 5" xfId="30194"/>
    <cellStyle name="表体文字居中 2 16 3 6" xfId="30196"/>
    <cellStyle name="表体文字居中 2 16 3 7" xfId="30198"/>
    <cellStyle name="表体文字居中 2 16 3 8" xfId="30200"/>
    <cellStyle name="表体文字居中 2 16 4" xfId="30202"/>
    <cellStyle name="表体文字居中 2 16 5" xfId="30204"/>
    <cellStyle name="表体文字居中 2 16 6" xfId="30206"/>
    <cellStyle name="表体文字居中 2 16 7" xfId="30208"/>
    <cellStyle name="表体文字居中 2 16 8" xfId="30210"/>
    <cellStyle name="表体文字居中 2 16 9" xfId="30212"/>
    <cellStyle name="表体文字居中 2 17" xfId="5966"/>
    <cellStyle name="表体文字居中 2 17 10" xfId="10889"/>
    <cellStyle name="表体文字居中 2 17 2" xfId="11374"/>
    <cellStyle name="表体文字居中 2 17 2 2" xfId="30214"/>
    <cellStyle name="表体文字居中 2 17 2 3" xfId="30216"/>
    <cellStyle name="表体文字居中 2 17 2 4" xfId="30218"/>
    <cellStyle name="表体文字居中 2 17 2 5" xfId="30220"/>
    <cellStyle name="表体文字居中 2 17 2 6" xfId="30222"/>
    <cellStyle name="表体文字居中 2 17 2 7" xfId="30224"/>
    <cellStyle name="表体文字居中 2 17 2 8" xfId="26592"/>
    <cellStyle name="表体文字居中 2 17 3" xfId="11377"/>
    <cellStyle name="表体文字居中 2 17 3 2" xfId="30226"/>
    <cellStyle name="表体文字居中 2 17 3 3" xfId="30228"/>
    <cellStyle name="表体文字居中 2 17 3 4" xfId="30230"/>
    <cellStyle name="表体文字居中 2 17 3 5" xfId="30232"/>
    <cellStyle name="表体文字居中 2 17 3 6" xfId="30234"/>
    <cellStyle name="表体文字居中 2 17 3 7" xfId="30236"/>
    <cellStyle name="表体文字居中 2 17 3 8" xfId="30238"/>
    <cellStyle name="表体文字居中 2 17 4" xfId="11380"/>
    <cellStyle name="表体文字居中 2 17 5" xfId="30240"/>
    <cellStyle name="表体文字居中 2 17 6" xfId="10848"/>
    <cellStyle name="表体文字居中 2 17 7" xfId="30242"/>
    <cellStyle name="表体文字居中 2 17 8" xfId="30244"/>
    <cellStyle name="表体文字居中 2 17 9" xfId="30246"/>
    <cellStyle name="表体文字居中 2 18" xfId="30248"/>
    <cellStyle name="表体文字居中 2 18 10" xfId="30250"/>
    <cellStyle name="表体文字居中 2 18 2" xfId="11394"/>
    <cellStyle name="表体文字居中 2 18 2 2" xfId="30252"/>
    <cellStyle name="表体文字居中 2 18 2 3" xfId="30254"/>
    <cellStyle name="表体文字居中 2 18 2 4" xfId="30256"/>
    <cellStyle name="表体文字居中 2 18 2 5" xfId="30258"/>
    <cellStyle name="表体文字居中 2 18 2 6" xfId="6308"/>
    <cellStyle name="表体文字居中 2 18 2 7" xfId="6312"/>
    <cellStyle name="表体文字居中 2 18 2 8" xfId="26606"/>
    <cellStyle name="表体文字居中 2 18 3" xfId="11397"/>
    <cellStyle name="表体文字居中 2 18 3 2" xfId="6888"/>
    <cellStyle name="表体文字居中 2 18 3 3" xfId="6891"/>
    <cellStyle name="表体文字居中 2 18 3 4" xfId="6894"/>
    <cellStyle name="表体文字居中 2 18 3 5" xfId="6897"/>
    <cellStyle name="表体文字居中 2 18 3 6" xfId="6902"/>
    <cellStyle name="表体文字居中 2 18 3 7" xfId="6905"/>
    <cellStyle name="表体文字居中 2 18 3 8" xfId="30260"/>
    <cellStyle name="表体文字居中 2 18 4" xfId="11400"/>
    <cellStyle name="表体文字居中 2 18 5" xfId="30262"/>
    <cellStyle name="表体文字居中 2 18 6" xfId="30264"/>
    <cellStyle name="表体文字居中 2 18 7" xfId="30266"/>
    <cellStyle name="表体文字居中 2 18 8" xfId="30268"/>
    <cellStyle name="表体文字居中 2 18 9" xfId="30270"/>
    <cellStyle name="表体文字居中 2 19" xfId="30272"/>
    <cellStyle name="表体文字居中 2 19 10" xfId="17753"/>
    <cellStyle name="表体文字居中 2 19 2" xfId="30274"/>
    <cellStyle name="表体文字居中 2 19 2 2" xfId="30276"/>
    <cellStyle name="表体文字居中 2 19 2 3" xfId="30278"/>
    <cellStyle name="表体文字居中 2 19 2 4" xfId="30280"/>
    <cellStyle name="表体文字居中 2 19 2 5" xfId="30282"/>
    <cellStyle name="表体文字居中 2 19 2 6" xfId="30284"/>
    <cellStyle name="表体文字居中 2 19 2 7" xfId="30286"/>
    <cellStyle name="表体文字居中 2 19 2 8" xfId="26618"/>
    <cellStyle name="表体文字居中 2 19 3" xfId="30288"/>
    <cellStyle name="表体文字居中 2 19 3 2" xfId="30290"/>
    <cellStyle name="表体文字居中 2 19 3 3" xfId="30292"/>
    <cellStyle name="表体文字居中 2 19 3 4" xfId="30294"/>
    <cellStyle name="表体文字居中 2 19 3 5" xfId="30296"/>
    <cellStyle name="表体文字居中 2 19 3 6" xfId="30298"/>
    <cellStyle name="表体文字居中 2 19 3 7" xfId="30300"/>
    <cellStyle name="表体文字居中 2 19 3 8" xfId="30302"/>
    <cellStyle name="表体文字居中 2 19 4" xfId="30304"/>
    <cellStyle name="表体文字居中 2 19 5" xfId="30306"/>
    <cellStyle name="表体文字居中 2 19 6" xfId="30308"/>
    <cellStyle name="表体文字居中 2 19 7" xfId="30310"/>
    <cellStyle name="表体文字居中 2 19 8" xfId="30312"/>
    <cellStyle name="表体文字居中 2 19 9" xfId="30314"/>
    <cellStyle name="表体文字居中 2 2" xfId="30316"/>
    <cellStyle name="表体文字居中 2 2 10" xfId="20837"/>
    <cellStyle name="表体文字居中 2 2 2" xfId="30317"/>
    <cellStyle name="表体文字居中 2 2 2 2" xfId="30318"/>
    <cellStyle name="表体文字居中 2 2 2 3" xfId="30320"/>
    <cellStyle name="表体文字居中 2 2 2 4" xfId="30321"/>
    <cellStyle name="表体文字居中 2 2 2 5" xfId="30322"/>
    <cellStyle name="表体文字居中 2 2 2 6" xfId="7781"/>
    <cellStyle name="表体文字居中 2 2 2 7" xfId="7786"/>
    <cellStyle name="表体文字居中 2 2 2 8" xfId="10359"/>
    <cellStyle name="表体文字居中 2 2 3" xfId="30323"/>
    <cellStyle name="表体文字居中 2 2 3 2" xfId="30324"/>
    <cellStyle name="表体文字居中 2 2 3 3" xfId="30325"/>
    <cellStyle name="表体文字居中 2 2 3 4" xfId="30326"/>
    <cellStyle name="表体文字居中 2 2 3 5" xfId="30327"/>
    <cellStyle name="表体文字居中 2 2 3 6" xfId="7793"/>
    <cellStyle name="表体文字居中 2 2 3 7" xfId="7796"/>
    <cellStyle name="表体文字居中 2 2 3 8" xfId="30328"/>
    <cellStyle name="表体文字居中 2 2 4" xfId="30329"/>
    <cellStyle name="表体文字居中 2 2 5" xfId="30330"/>
    <cellStyle name="表体文字居中 2 2 6" xfId="30331"/>
    <cellStyle name="表体文字居中 2 2 7" xfId="263"/>
    <cellStyle name="表体文字居中 2 2 8" xfId="244"/>
    <cellStyle name="表体文字居中 2 2 9" xfId="28841"/>
    <cellStyle name="表体文字居中 2 20" xfId="4660"/>
    <cellStyle name="表体文字居中 2 20 10" xfId="30163"/>
    <cellStyle name="表体文字居中 2 20 2" xfId="4815"/>
    <cellStyle name="表体文字居中 2 20 2 2" xfId="23186"/>
    <cellStyle name="表体文字居中 2 20 2 3" xfId="23191"/>
    <cellStyle name="表体文字居中 2 20 2 4" xfId="23198"/>
    <cellStyle name="表体文字居中 2 20 2 5" xfId="23207"/>
    <cellStyle name="表体文字居中 2 20 2 6" xfId="23214"/>
    <cellStyle name="表体文字居中 2 20 2 7" xfId="25860"/>
    <cellStyle name="表体文字居中 2 20 2 8" xfId="25867"/>
    <cellStyle name="表体文字居中 2 20 3" xfId="30165"/>
    <cellStyle name="表体文字居中 2 20 3 2" xfId="23286"/>
    <cellStyle name="表体文字居中 2 20 3 3" xfId="23290"/>
    <cellStyle name="表体文字居中 2 20 3 4" xfId="23297"/>
    <cellStyle name="表体文字居中 2 20 3 5" xfId="23304"/>
    <cellStyle name="表体文字居中 2 20 3 6" xfId="23311"/>
    <cellStyle name="表体文字居中 2 20 3 7" xfId="25924"/>
    <cellStyle name="表体文字居中 2 20 3 8" xfId="25929"/>
    <cellStyle name="表体文字居中 2 20 4" xfId="30167"/>
    <cellStyle name="表体文字居中 2 20 5" xfId="30169"/>
    <cellStyle name="表体文字居中 2 20 6" xfId="30171"/>
    <cellStyle name="表体文字居中 2 20 7" xfId="30173"/>
    <cellStyle name="表体文字居中 2 20 8" xfId="30175"/>
    <cellStyle name="表体文字居中 2 20 9" xfId="30177"/>
    <cellStyle name="表体文字居中 2 21" xfId="5960"/>
    <cellStyle name="表体文字居中 2 21 10" xfId="5078"/>
    <cellStyle name="表体文字居中 2 21 2" xfId="30179"/>
    <cellStyle name="表体文字居中 2 21 2 2" xfId="30181"/>
    <cellStyle name="表体文字居中 2 21 2 3" xfId="30183"/>
    <cellStyle name="表体文字居中 2 21 2 4" xfId="26691"/>
    <cellStyle name="表体文字居中 2 21 2 5" xfId="26696"/>
    <cellStyle name="表体文字居中 2 21 2 6" xfId="26699"/>
    <cellStyle name="表体文字居中 2 21 2 7" xfId="26702"/>
    <cellStyle name="表体文字居中 2 21 2 8" xfId="26573"/>
    <cellStyle name="表体文字居中 2 21 3" xfId="30185"/>
    <cellStyle name="表体文字居中 2 21 3 2" xfId="30189"/>
    <cellStyle name="表体文字居中 2 21 3 3" xfId="30191"/>
    <cellStyle name="表体文字居中 2 21 3 4" xfId="30193"/>
    <cellStyle name="表体文字居中 2 21 3 5" xfId="30195"/>
    <cellStyle name="表体文字居中 2 21 3 6" xfId="30197"/>
    <cellStyle name="表体文字居中 2 21 3 7" xfId="30199"/>
    <cellStyle name="表体文字居中 2 21 3 8" xfId="30201"/>
    <cellStyle name="表体文字居中 2 21 4" xfId="30203"/>
    <cellStyle name="表体文字居中 2 21 5" xfId="30205"/>
    <cellStyle name="表体文字居中 2 21 6" xfId="30207"/>
    <cellStyle name="表体文字居中 2 21 7" xfId="30209"/>
    <cellStyle name="表体文字居中 2 21 8" xfId="30211"/>
    <cellStyle name="表体文字居中 2 21 9" xfId="30213"/>
    <cellStyle name="表体文字居中 2 22" xfId="5967"/>
    <cellStyle name="表体文字居中 2 22 10" xfId="10890"/>
    <cellStyle name="表体文字居中 2 22 2" xfId="11375"/>
    <cellStyle name="表体文字居中 2 22 2 2" xfId="30215"/>
    <cellStyle name="表体文字居中 2 22 2 3" xfId="30217"/>
    <cellStyle name="表体文字居中 2 22 2 4" xfId="30219"/>
    <cellStyle name="表体文字居中 2 22 2 5" xfId="30221"/>
    <cellStyle name="表体文字居中 2 22 2 6" xfId="30223"/>
    <cellStyle name="表体文字居中 2 22 2 7" xfId="30225"/>
    <cellStyle name="表体文字居中 2 22 2 8" xfId="26593"/>
    <cellStyle name="表体文字居中 2 22 3" xfId="11378"/>
    <cellStyle name="表体文字居中 2 22 3 2" xfId="30227"/>
    <cellStyle name="表体文字居中 2 22 3 3" xfId="30229"/>
    <cellStyle name="表体文字居中 2 22 3 4" xfId="30231"/>
    <cellStyle name="表体文字居中 2 22 3 5" xfId="30233"/>
    <cellStyle name="表体文字居中 2 22 3 6" xfId="30235"/>
    <cellStyle name="表体文字居中 2 22 3 7" xfId="30237"/>
    <cellStyle name="表体文字居中 2 22 3 8" xfId="30239"/>
    <cellStyle name="表体文字居中 2 22 4" xfId="11381"/>
    <cellStyle name="表体文字居中 2 22 5" xfId="30241"/>
    <cellStyle name="表体文字居中 2 22 6" xfId="10849"/>
    <cellStyle name="表体文字居中 2 22 7" xfId="30243"/>
    <cellStyle name="表体文字居中 2 22 8" xfId="30245"/>
    <cellStyle name="表体文字居中 2 22 9" xfId="30247"/>
    <cellStyle name="表体文字居中 2 23" xfId="30249"/>
    <cellStyle name="表体文字居中 2 23 10" xfId="30251"/>
    <cellStyle name="表体文字居中 2 23 2" xfId="11395"/>
    <cellStyle name="表体文字居中 2 23 2 2" xfId="30253"/>
    <cellStyle name="表体文字居中 2 23 2 3" xfId="30255"/>
    <cellStyle name="表体文字居中 2 23 2 4" xfId="30257"/>
    <cellStyle name="表体文字居中 2 23 2 5" xfId="30259"/>
    <cellStyle name="表体文字居中 2 23 2 6" xfId="6309"/>
    <cellStyle name="表体文字居中 2 23 2 7" xfId="6313"/>
    <cellStyle name="表体文字居中 2 23 2 8" xfId="26607"/>
    <cellStyle name="表体文字居中 2 23 3" xfId="11398"/>
    <cellStyle name="表体文字居中 2 23 3 2" xfId="6889"/>
    <cellStyle name="表体文字居中 2 23 3 3" xfId="6892"/>
    <cellStyle name="表体文字居中 2 23 3 4" xfId="6895"/>
    <cellStyle name="表体文字居中 2 23 3 5" xfId="6898"/>
    <cellStyle name="表体文字居中 2 23 3 6" xfId="6903"/>
    <cellStyle name="表体文字居中 2 23 3 7" xfId="6906"/>
    <cellStyle name="表体文字居中 2 23 3 8" xfId="30261"/>
    <cellStyle name="表体文字居中 2 23 4" xfId="11401"/>
    <cellStyle name="表体文字居中 2 23 5" xfId="30263"/>
    <cellStyle name="表体文字居中 2 23 6" xfId="30265"/>
    <cellStyle name="表体文字居中 2 23 7" xfId="30267"/>
    <cellStyle name="表体文字居中 2 23 8" xfId="30269"/>
    <cellStyle name="表体文字居中 2 23 9" xfId="30271"/>
    <cellStyle name="表体文字居中 2 24" xfId="30273"/>
    <cellStyle name="表体文字居中 2 24 10" xfId="17754"/>
    <cellStyle name="表体文字居中 2 24 2" xfId="30275"/>
    <cellStyle name="表体文字居中 2 24 2 2" xfId="30277"/>
    <cellStyle name="表体文字居中 2 24 2 3" xfId="30279"/>
    <cellStyle name="表体文字居中 2 24 2 4" xfId="30281"/>
    <cellStyle name="表体文字居中 2 24 2 5" xfId="30283"/>
    <cellStyle name="表体文字居中 2 24 2 6" xfId="30285"/>
    <cellStyle name="表体文字居中 2 24 2 7" xfId="30287"/>
    <cellStyle name="表体文字居中 2 24 2 8" xfId="26619"/>
    <cellStyle name="表体文字居中 2 24 3" xfId="30289"/>
    <cellStyle name="表体文字居中 2 24 3 2" xfId="30291"/>
    <cellStyle name="表体文字居中 2 24 3 3" xfId="30293"/>
    <cellStyle name="表体文字居中 2 24 3 4" xfId="30295"/>
    <cellStyle name="表体文字居中 2 24 3 5" xfId="30297"/>
    <cellStyle name="表体文字居中 2 24 3 6" xfId="30299"/>
    <cellStyle name="表体文字居中 2 24 3 7" xfId="30301"/>
    <cellStyle name="表体文字居中 2 24 3 8" xfId="30303"/>
    <cellStyle name="表体文字居中 2 24 4" xfId="30305"/>
    <cellStyle name="表体文字居中 2 24 5" xfId="30307"/>
    <cellStyle name="表体文字居中 2 24 6" xfId="30309"/>
    <cellStyle name="表体文字居中 2 24 7" xfId="30311"/>
    <cellStyle name="表体文字居中 2 24 8" xfId="30313"/>
    <cellStyle name="表体文字居中 2 24 9" xfId="30315"/>
    <cellStyle name="表体文字居中 2 25" xfId="30332"/>
    <cellStyle name="表体文字居中 2 25 10" xfId="30334"/>
    <cellStyle name="表体文字居中 2 25 2" xfId="5610"/>
    <cellStyle name="表体文字居中 2 25 2 2" xfId="30336"/>
    <cellStyle name="表体文字居中 2 25 2 3" xfId="30338"/>
    <cellStyle name="表体文字居中 2 25 2 4" xfId="30340"/>
    <cellStyle name="表体文字居中 2 25 2 5" xfId="30342"/>
    <cellStyle name="表体文字居中 2 25 2 6" xfId="30344"/>
    <cellStyle name="表体文字居中 2 25 2 7" xfId="30346"/>
    <cellStyle name="表体文字居中 2 25 2 8" xfId="26638"/>
    <cellStyle name="表体文字居中 2 25 3" xfId="30348"/>
    <cellStyle name="表体文字居中 2 25 3 2" xfId="30350"/>
    <cellStyle name="表体文字居中 2 25 3 3" xfId="30352"/>
    <cellStyle name="表体文字居中 2 25 3 4" xfId="30354"/>
    <cellStyle name="表体文字居中 2 25 3 5" xfId="30356"/>
    <cellStyle name="表体文字居中 2 25 3 6" xfId="30358"/>
    <cellStyle name="表体文字居中 2 25 3 7" xfId="30360"/>
    <cellStyle name="表体文字居中 2 25 3 8" xfId="30362"/>
    <cellStyle name="表体文字居中 2 25 4" xfId="30364"/>
    <cellStyle name="表体文字居中 2 25 5" xfId="30366"/>
    <cellStyle name="表体文字居中 2 25 6" xfId="30368"/>
    <cellStyle name="表体文字居中 2 25 7" xfId="30370"/>
    <cellStyle name="表体文字居中 2 25 8" xfId="30372"/>
    <cellStyle name="表体文字居中 2 25 9" xfId="9155"/>
    <cellStyle name="表体文字居中 2 26" xfId="30374"/>
    <cellStyle name="表体文字居中 2 26 10" xfId="4739"/>
    <cellStyle name="表体文字居中 2 26 2" xfId="30376"/>
    <cellStyle name="表体文字居中 2 26 2 2" xfId="30378"/>
    <cellStyle name="表体文字居中 2 26 2 3" xfId="30380"/>
    <cellStyle name="表体文字居中 2 26 2 4" xfId="7946"/>
    <cellStyle name="表体文字居中 2 26 2 5" xfId="5852"/>
    <cellStyle name="表体文字居中 2 26 2 6" xfId="4751"/>
    <cellStyle name="表体文字居中 2 26 2 7" xfId="4756"/>
    <cellStyle name="表体文字居中 2 26 2 8" xfId="5860"/>
    <cellStyle name="表体文字居中 2 26 3" xfId="30382"/>
    <cellStyle name="表体文字居中 2 26 3 2" xfId="30386"/>
    <cellStyle name="表体文字居中 2 26 3 3" xfId="6842"/>
    <cellStyle name="表体文字居中 2 26 3 4" xfId="1098"/>
    <cellStyle name="表体文字居中 2 26 3 5" xfId="1105"/>
    <cellStyle name="表体文字居中 2 26 3 6" xfId="40"/>
    <cellStyle name="表体文字居中 2 26 3 7" xfId="5876"/>
    <cellStyle name="表体文字居中 2 26 3 8" xfId="1245"/>
    <cellStyle name="表体文字居中 2 26 4" xfId="30388"/>
    <cellStyle name="表体文字居中 2 26 5" xfId="30390"/>
    <cellStyle name="表体文字居中 2 26 6" xfId="30392"/>
    <cellStyle name="表体文字居中 2 26 7" xfId="30394"/>
    <cellStyle name="表体文字居中 2 26 8" xfId="30396"/>
    <cellStyle name="表体文字居中 2 26 9" xfId="30398"/>
    <cellStyle name="表体文字居中 2 27" xfId="30400"/>
    <cellStyle name="表体文字居中 2 27 10" xfId="10937"/>
    <cellStyle name="表体文字居中 2 27 2" xfId="30402"/>
    <cellStyle name="表体文字居中 2 27 2 2" xfId="26388"/>
    <cellStyle name="表体文字居中 2 27 2 3" xfId="26433"/>
    <cellStyle name="表体文字居中 2 27 2 4" xfId="26497"/>
    <cellStyle name="表体文字居中 2 27 2 5" xfId="26562"/>
    <cellStyle name="表体文字居中 2 27 2 6" xfId="26584"/>
    <cellStyle name="表体文字居中 2 27 2 7" xfId="26598"/>
    <cellStyle name="表体文字居中 2 27 2 8" xfId="26612"/>
    <cellStyle name="表体文字居中 2 27 3" xfId="30404"/>
    <cellStyle name="表体文字居中 2 27 3 2" xfId="30406"/>
    <cellStyle name="表体文字居中 2 27 3 3" xfId="30408"/>
    <cellStyle name="表体文字居中 2 27 3 4" xfId="30410"/>
    <cellStyle name="表体文字居中 2 27 3 5" xfId="30412"/>
    <cellStyle name="表体文字居中 2 27 3 6" xfId="30414"/>
    <cellStyle name="表体文字居中 2 27 3 7" xfId="8567"/>
    <cellStyle name="表体文字居中 2 27 3 8" xfId="30416"/>
    <cellStyle name="表体文字居中 2 27 4" xfId="30418"/>
    <cellStyle name="表体文字居中 2 27 5" xfId="30420"/>
    <cellStyle name="表体文字居中 2 27 6" xfId="10912"/>
    <cellStyle name="表体文字居中 2 27 7" xfId="30422"/>
    <cellStyle name="表体文字居中 2 27 8" xfId="30424"/>
    <cellStyle name="表体文字居中 2 27 9" xfId="30426"/>
    <cellStyle name="表体文字居中 2 28" xfId="30428"/>
    <cellStyle name="表体文字居中 2 28 10" xfId="20342"/>
    <cellStyle name="表体文字居中 2 28 2" xfId="270"/>
    <cellStyle name="表体文字居中 2 28 2 2" xfId="27078"/>
    <cellStyle name="表体文字居中 2 28 2 3" xfId="27083"/>
    <cellStyle name="表体文字居中 2 28 2 4" xfId="27088"/>
    <cellStyle name="表体文字居中 2 28 2 5" xfId="30430"/>
    <cellStyle name="表体文字居中 2 28 2 6" xfId="30433"/>
    <cellStyle name="表体文字居中 2 28 2 7" xfId="30436"/>
    <cellStyle name="表体文字居中 2 28 2 8" xfId="30438"/>
    <cellStyle name="表体文字居中 2 28 3" xfId="277"/>
    <cellStyle name="表体文字居中 2 28 3 2" xfId="19966"/>
    <cellStyle name="表体文字居中 2 28 3 3" xfId="19980"/>
    <cellStyle name="表体文字居中 2 28 3 4" xfId="19988"/>
    <cellStyle name="表体文字居中 2 28 3 5" xfId="20086"/>
    <cellStyle name="表体文字居中 2 28 3 6" xfId="20151"/>
    <cellStyle name="表体文字居中 2 28 3 7" xfId="20221"/>
    <cellStyle name="表体文字居中 2 28 3 8" xfId="20283"/>
    <cellStyle name="表体文字居中 2 28 4" xfId="287"/>
    <cellStyle name="表体文字居中 2 28 5" xfId="300"/>
    <cellStyle name="表体文字居中 2 28 6" xfId="308"/>
    <cellStyle name="表体文字居中 2 28 7" xfId="30440"/>
    <cellStyle name="表体文字居中 2 28 8" xfId="9007"/>
    <cellStyle name="表体文字居中 2 28 9" xfId="9010"/>
    <cellStyle name="表体文字居中 2 29" xfId="30442"/>
    <cellStyle name="表体文字居中 2 29 10" xfId="17790"/>
    <cellStyle name="表体文字居中 2 29 2" xfId="30444"/>
    <cellStyle name="表体文字居中 2 29 2 2" xfId="12909"/>
    <cellStyle name="表体文字居中 2 29 2 3" xfId="30446"/>
    <cellStyle name="表体文字居中 2 29 2 4" xfId="30448"/>
    <cellStyle name="表体文字居中 2 29 2 5" xfId="30450"/>
    <cellStyle name="表体文字居中 2 29 2 6" xfId="30452"/>
    <cellStyle name="表体文字居中 2 29 2 7" xfId="30454"/>
    <cellStyle name="表体文字居中 2 29 2 8" xfId="30456"/>
    <cellStyle name="表体文字居中 2 29 3" xfId="11188"/>
    <cellStyle name="表体文字居中 2 29 3 2" xfId="12941"/>
    <cellStyle name="表体文字居中 2 29 3 3" xfId="30458"/>
    <cellStyle name="表体文字居中 2 29 3 4" xfId="20287"/>
    <cellStyle name="表体文字居中 2 29 3 5" xfId="30460"/>
    <cellStyle name="表体文字居中 2 29 3 6" xfId="30462"/>
    <cellStyle name="表体文字居中 2 29 3 7" xfId="30464"/>
    <cellStyle name="表体文字居中 2 29 3 8" xfId="30466"/>
    <cellStyle name="表体文字居中 2 29 4" xfId="11191"/>
    <cellStyle name="表体文字居中 2 29 5" xfId="6386"/>
    <cellStyle name="表体文字居中 2 29 6" xfId="6391"/>
    <cellStyle name="表体文字居中 2 29 7" xfId="6395"/>
    <cellStyle name="表体文字居中 2 29 8" xfId="5880"/>
    <cellStyle name="表体文字居中 2 29 9" xfId="6399"/>
    <cellStyle name="表体文字居中 2 3" xfId="23792"/>
    <cellStyle name="表体文字居中 2 3 10" xfId="16544"/>
    <cellStyle name="表体文字居中 2 3 2" xfId="30468"/>
    <cellStyle name="表体文字居中 2 3 2 2" xfId="30469"/>
    <cellStyle name="表体文字居中 2 3 2 3" xfId="30470"/>
    <cellStyle name="表体文字居中 2 3 2 4" xfId="30471"/>
    <cellStyle name="表体文字居中 2 3 2 5" xfId="30472"/>
    <cellStyle name="表体文字居中 2 3 2 6" xfId="30473"/>
    <cellStyle name="表体文字居中 2 3 2 7" xfId="10762"/>
    <cellStyle name="表体文字居中 2 3 2 8" xfId="10764"/>
    <cellStyle name="表体文字居中 2 3 3" xfId="30474"/>
    <cellStyle name="表体文字居中 2 3 3 2" xfId="30475"/>
    <cellStyle name="表体文字居中 2 3 3 3" xfId="30476"/>
    <cellStyle name="表体文字居中 2 3 3 4" xfId="30477"/>
    <cellStyle name="表体文字居中 2 3 3 5" xfId="30478"/>
    <cellStyle name="表体文字居中 2 3 3 6" xfId="30479"/>
    <cellStyle name="表体文字居中 2 3 3 7" xfId="30480"/>
    <cellStyle name="表体文字居中 2 3 3 8" xfId="30481"/>
    <cellStyle name="表体文字居中 2 3 4" xfId="30482"/>
    <cellStyle name="表体文字居中 2 3 5" xfId="30483"/>
    <cellStyle name="表体文字居中 2 3 6" xfId="30484"/>
    <cellStyle name="表体文字居中 2 3 7" xfId="30485"/>
    <cellStyle name="表体文字居中 2 3 8" xfId="28890"/>
    <cellStyle name="表体文字居中 2 3 9" xfId="28894"/>
    <cellStyle name="表体文字居中 2 30" xfId="30333"/>
    <cellStyle name="表体文字居中 2 30 10" xfId="30335"/>
    <cellStyle name="表体文字居中 2 30 2" xfId="5611"/>
    <cellStyle name="表体文字居中 2 30 2 2" xfId="30337"/>
    <cellStyle name="表体文字居中 2 30 2 3" xfId="30339"/>
    <cellStyle name="表体文字居中 2 30 2 4" xfId="30341"/>
    <cellStyle name="表体文字居中 2 30 2 5" xfId="30343"/>
    <cellStyle name="表体文字居中 2 30 2 6" xfId="30345"/>
    <cellStyle name="表体文字居中 2 30 2 7" xfId="30347"/>
    <cellStyle name="表体文字居中 2 30 2 8" xfId="26639"/>
    <cellStyle name="表体文字居中 2 30 3" xfId="30349"/>
    <cellStyle name="表体文字居中 2 30 3 2" xfId="30351"/>
    <cellStyle name="表体文字居中 2 30 3 3" xfId="30353"/>
    <cellStyle name="表体文字居中 2 30 3 4" xfId="30355"/>
    <cellStyle name="表体文字居中 2 30 3 5" xfId="30357"/>
    <cellStyle name="表体文字居中 2 30 3 6" xfId="30359"/>
    <cellStyle name="表体文字居中 2 30 3 7" xfId="30361"/>
    <cellStyle name="表体文字居中 2 30 3 8" xfId="30363"/>
    <cellStyle name="表体文字居中 2 30 4" xfId="30365"/>
    <cellStyle name="表体文字居中 2 30 5" xfId="30367"/>
    <cellStyle name="表体文字居中 2 30 6" xfId="30369"/>
    <cellStyle name="表体文字居中 2 30 7" xfId="30371"/>
    <cellStyle name="表体文字居中 2 30 8" xfId="30373"/>
    <cellStyle name="表体文字居中 2 30 9" xfId="9156"/>
    <cellStyle name="表体文字居中 2 31" xfId="30375"/>
    <cellStyle name="表体文字居中 2 31 10" xfId="4740"/>
    <cellStyle name="表体文字居中 2 31 2" xfId="30377"/>
    <cellStyle name="表体文字居中 2 31 2 2" xfId="30379"/>
    <cellStyle name="表体文字居中 2 31 2 3" xfId="30381"/>
    <cellStyle name="表体文字居中 2 31 2 4" xfId="7947"/>
    <cellStyle name="表体文字居中 2 31 2 5" xfId="5853"/>
    <cellStyle name="表体文字居中 2 31 2 6" xfId="4752"/>
    <cellStyle name="表体文字居中 2 31 2 7" xfId="4757"/>
    <cellStyle name="表体文字居中 2 31 2 8" xfId="5861"/>
    <cellStyle name="表体文字居中 2 31 3" xfId="30383"/>
    <cellStyle name="表体文字居中 2 31 3 2" xfId="30387"/>
    <cellStyle name="表体文字居中 2 31 3 3" xfId="6843"/>
    <cellStyle name="表体文字居中 2 31 3 4" xfId="1097"/>
    <cellStyle name="表体文字居中 2 31 3 5" xfId="1104"/>
    <cellStyle name="表体文字居中 2 31 3 6" xfId="41"/>
    <cellStyle name="表体文字居中 2 31 3 7" xfId="5877"/>
    <cellStyle name="表体文字居中 2 31 3 8" xfId="1244"/>
    <cellStyle name="表体文字居中 2 31 4" xfId="30389"/>
    <cellStyle name="表体文字居中 2 31 5" xfId="30391"/>
    <cellStyle name="表体文字居中 2 31 6" xfId="30393"/>
    <cellStyle name="表体文字居中 2 31 7" xfId="30395"/>
    <cellStyle name="表体文字居中 2 31 8" xfId="30397"/>
    <cellStyle name="表体文字居中 2 31 9" xfId="30399"/>
    <cellStyle name="表体文字居中 2 32" xfId="30401"/>
    <cellStyle name="表体文字居中 2 32 10" xfId="10938"/>
    <cellStyle name="表体文字居中 2 32 2" xfId="30403"/>
    <cellStyle name="表体文字居中 2 32 2 2" xfId="26389"/>
    <cellStyle name="表体文字居中 2 32 2 3" xfId="26434"/>
    <cellStyle name="表体文字居中 2 32 2 4" xfId="26498"/>
    <cellStyle name="表体文字居中 2 32 2 5" xfId="26563"/>
    <cellStyle name="表体文字居中 2 32 2 6" xfId="26585"/>
    <cellStyle name="表体文字居中 2 32 2 7" xfId="26599"/>
    <cellStyle name="表体文字居中 2 32 2 8" xfId="26613"/>
    <cellStyle name="表体文字居中 2 32 3" xfId="30405"/>
    <cellStyle name="表体文字居中 2 32 3 2" xfId="30407"/>
    <cellStyle name="表体文字居中 2 32 3 3" xfId="30409"/>
    <cellStyle name="表体文字居中 2 32 3 4" xfId="30411"/>
    <cellStyle name="表体文字居中 2 32 3 5" xfId="30413"/>
    <cellStyle name="表体文字居中 2 32 3 6" xfId="30415"/>
    <cellStyle name="表体文字居中 2 32 3 7" xfId="8568"/>
    <cellStyle name="表体文字居中 2 32 3 8" xfId="30417"/>
    <cellStyle name="表体文字居中 2 32 4" xfId="30419"/>
    <cellStyle name="表体文字居中 2 32 5" xfId="30421"/>
    <cellStyle name="表体文字居中 2 32 6" xfId="10913"/>
    <cellStyle name="表体文字居中 2 32 7" xfId="30423"/>
    <cellStyle name="表体文字居中 2 32 8" xfId="30425"/>
    <cellStyle name="表体文字居中 2 32 9" xfId="30427"/>
    <cellStyle name="表体文字居中 2 33" xfId="30429"/>
    <cellStyle name="表体文字居中 2 33 10" xfId="20343"/>
    <cellStyle name="表体文字居中 2 33 2" xfId="271"/>
    <cellStyle name="表体文字居中 2 33 2 2" xfId="27079"/>
    <cellStyle name="表体文字居中 2 33 2 3" xfId="27084"/>
    <cellStyle name="表体文字居中 2 33 2 4" xfId="27089"/>
    <cellStyle name="表体文字居中 2 33 2 5" xfId="30431"/>
    <cellStyle name="表体文字居中 2 33 2 6" xfId="30434"/>
    <cellStyle name="表体文字居中 2 33 2 7" xfId="30437"/>
    <cellStyle name="表体文字居中 2 33 2 8" xfId="30439"/>
    <cellStyle name="表体文字居中 2 33 3" xfId="278"/>
    <cellStyle name="表体文字居中 2 33 3 2" xfId="19967"/>
    <cellStyle name="表体文字居中 2 33 3 3" xfId="19981"/>
    <cellStyle name="表体文字居中 2 33 3 4" xfId="19989"/>
    <cellStyle name="表体文字居中 2 33 3 5" xfId="20087"/>
    <cellStyle name="表体文字居中 2 33 3 6" xfId="20152"/>
    <cellStyle name="表体文字居中 2 33 3 7" xfId="20222"/>
    <cellStyle name="表体文字居中 2 33 3 8" xfId="20284"/>
    <cellStyle name="表体文字居中 2 33 4" xfId="288"/>
    <cellStyle name="表体文字居中 2 33 5" xfId="301"/>
    <cellStyle name="表体文字居中 2 33 6" xfId="309"/>
    <cellStyle name="表体文字居中 2 33 7" xfId="30441"/>
    <cellStyle name="表体文字居中 2 33 8" xfId="9008"/>
    <cellStyle name="表体文字居中 2 33 9" xfId="9011"/>
    <cellStyle name="表体文字居中 2 34" xfId="30443"/>
    <cellStyle name="表体文字居中 2 34 10" xfId="17791"/>
    <cellStyle name="表体文字居中 2 34 2" xfId="30445"/>
    <cellStyle name="表体文字居中 2 34 2 2" xfId="12910"/>
    <cellStyle name="表体文字居中 2 34 2 3" xfId="30447"/>
    <cellStyle name="表体文字居中 2 34 2 4" xfId="30449"/>
    <cellStyle name="表体文字居中 2 34 2 5" xfId="30451"/>
    <cellStyle name="表体文字居中 2 34 2 6" xfId="30453"/>
    <cellStyle name="表体文字居中 2 34 2 7" xfId="30455"/>
    <cellStyle name="表体文字居中 2 34 2 8" xfId="30457"/>
    <cellStyle name="表体文字居中 2 34 3" xfId="11189"/>
    <cellStyle name="表体文字居中 2 34 3 2" xfId="12942"/>
    <cellStyle name="表体文字居中 2 34 3 3" xfId="30459"/>
    <cellStyle name="表体文字居中 2 34 3 4" xfId="20288"/>
    <cellStyle name="表体文字居中 2 34 3 5" xfId="30461"/>
    <cellStyle name="表体文字居中 2 34 3 6" xfId="30463"/>
    <cellStyle name="表体文字居中 2 34 3 7" xfId="30465"/>
    <cellStyle name="表体文字居中 2 34 3 8" xfId="30467"/>
    <cellStyle name="表体文字居中 2 34 4" xfId="11192"/>
    <cellStyle name="表体文字居中 2 34 5" xfId="6387"/>
    <cellStyle name="表体文字居中 2 34 6" xfId="6392"/>
    <cellStyle name="表体文字居中 2 34 7" xfId="6396"/>
    <cellStyle name="表体文字居中 2 34 8" xfId="5881"/>
    <cellStyle name="表体文字居中 2 34 9" xfId="6400"/>
    <cellStyle name="表体文字居中 2 35" xfId="30486"/>
    <cellStyle name="表体文字居中 2 35 10" xfId="30488"/>
    <cellStyle name="表体文字居中 2 35 2" xfId="5652"/>
    <cellStyle name="表体文字居中 2 35 2 2" xfId="16128"/>
    <cellStyle name="表体文字居中 2 35 2 3" xfId="30490"/>
    <cellStyle name="表体文字居中 2 35 2 4" xfId="30492"/>
    <cellStyle name="表体文字居中 2 35 2 5" xfId="30494"/>
    <cellStyle name="表体文字居中 2 35 2 6" xfId="30496"/>
    <cellStyle name="表体文字居中 2 35 2 7" xfId="30498"/>
    <cellStyle name="表体文字居中 2 35 2 8" xfId="30500"/>
    <cellStyle name="表体文字居中 2 35 3" xfId="11195"/>
    <cellStyle name="表体文字居中 2 35 3 2" xfId="9181"/>
    <cellStyle name="表体文字居中 2 35 3 3" xfId="9184"/>
    <cellStyle name="表体文字居中 2 35 3 4" xfId="8260"/>
    <cellStyle name="表体文字居中 2 35 3 5" xfId="8263"/>
    <cellStyle name="表体文字居中 2 35 3 6" xfId="30502"/>
    <cellStyle name="表体文字居中 2 35 3 7" xfId="30504"/>
    <cellStyle name="表体文字居中 2 35 3 8" xfId="30506"/>
    <cellStyle name="表体文字居中 2 35 4" xfId="11198"/>
    <cellStyle name="表体文字居中 2 35 5" xfId="11201"/>
    <cellStyle name="表体文字居中 2 35 6" xfId="11204"/>
    <cellStyle name="表体文字居中 2 35 7" xfId="11207"/>
    <cellStyle name="表体文字居中 2 35 8" xfId="11210"/>
    <cellStyle name="表体文字居中 2 35 9" xfId="11213"/>
    <cellStyle name="表体文字居中 2 36" xfId="30508"/>
    <cellStyle name="表体文字居中 2 36 10" xfId="30510"/>
    <cellStyle name="表体文字居中 2 36 2" xfId="30512"/>
    <cellStyle name="表体文字居中 2 36 2 2" xfId="28545"/>
    <cellStyle name="表体文字居中 2 36 2 3" xfId="28557"/>
    <cellStyle name="表体文字居中 2 36 2 4" xfId="28561"/>
    <cellStyle name="表体文字居中 2 36 2 5" xfId="28565"/>
    <cellStyle name="表体文字居中 2 36 2 6" xfId="28569"/>
    <cellStyle name="表体文字居中 2 36 2 7" xfId="28573"/>
    <cellStyle name="表体文字居中 2 36 2 8" xfId="28577"/>
    <cellStyle name="表体文字居中 2 36 3" xfId="30514"/>
    <cellStyle name="表体文字居中 2 36 3 2" xfId="28599"/>
    <cellStyle name="表体文字居中 2 36 3 3" xfId="28613"/>
    <cellStyle name="表体文字居中 2 36 3 4" xfId="20761"/>
    <cellStyle name="表体文字居中 2 36 3 5" xfId="28619"/>
    <cellStyle name="表体文字居中 2 36 3 6" xfId="28625"/>
    <cellStyle name="表体文字居中 2 36 3 7" xfId="28631"/>
    <cellStyle name="表体文字居中 2 36 3 8" xfId="28637"/>
    <cellStyle name="表体文字居中 2 36 4" xfId="30518"/>
    <cellStyle name="表体文字居中 2 36 5" xfId="30520"/>
    <cellStyle name="表体文字居中 2 36 6" xfId="30522"/>
    <cellStyle name="表体文字居中 2 36 7" xfId="30524"/>
    <cellStyle name="表体文字居中 2 36 8" xfId="30526"/>
    <cellStyle name="表体文字居中 2 36 9" xfId="30528"/>
    <cellStyle name="表体文字居中 2 37" xfId="30530"/>
    <cellStyle name="表体文字居中 2 37 10" xfId="926"/>
    <cellStyle name="表体文字居中 2 37 2" xfId="30532"/>
    <cellStyle name="表体文字居中 2 37 2 2" xfId="30534"/>
    <cellStyle name="表体文字居中 2 37 2 3" xfId="30536"/>
    <cellStyle name="表体文字居中 2 37 2 4" xfId="30538"/>
    <cellStyle name="表体文字居中 2 37 2 5" xfId="30540"/>
    <cellStyle name="表体文字居中 2 37 2 6" xfId="30542"/>
    <cellStyle name="表体文字居中 2 37 2 7" xfId="30544"/>
    <cellStyle name="表体文字居中 2 37 2 8" xfId="30546"/>
    <cellStyle name="表体文字居中 2 37 3" xfId="30548"/>
    <cellStyle name="表体文字居中 2 37 3 2" xfId="30550"/>
    <cellStyle name="表体文字居中 2 37 3 3" xfId="30552"/>
    <cellStyle name="表体文字居中 2 37 3 4" xfId="21035"/>
    <cellStyle name="表体文字居中 2 37 3 5" xfId="30554"/>
    <cellStyle name="表体文字居中 2 37 3 6" xfId="30556"/>
    <cellStyle name="表体文字居中 2 37 3 7" xfId="30558"/>
    <cellStyle name="表体文字居中 2 37 3 8" xfId="30560"/>
    <cellStyle name="表体文字居中 2 37 4" xfId="30562"/>
    <cellStyle name="表体文字居中 2 37 5" xfId="30564"/>
    <cellStyle name="表体文字居中 2 37 6" xfId="10962"/>
    <cellStyle name="表体文字居中 2 37 7" xfId="20882"/>
    <cellStyle name="表体文字居中 2 37 8" xfId="20886"/>
    <cellStyle name="表体文字居中 2 37 9" xfId="20890"/>
    <cellStyle name="表体文字居中 2 38" xfId="30566"/>
    <cellStyle name="表体文字居中 2 38 10" xfId="836"/>
    <cellStyle name="表体文字居中 2 38 2" xfId="30568"/>
    <cellStyle name="表体文字居中 2 38 2 2" xfId="30570"/>
    <cellStyle name="表体文字居中 2 38 2 3" xfId="30572"/>
    <cellStyle name="表体文字居中 2 38 2 4" xfId="30574"/>
    <cellStyle name="表体文字居中 2 38 2 5" xfId="30576"/>
    <cellStyle name="表体文字居中 2 38 2 6" xfId="11925"/>
    <cellStyle name="表体文字居中 2 38 2 7" xfId="541"/>
    <cellStyle name="表体文字居中 2 38 2 8" xfId="549"/>
    <cellStyle name="表体文字居中 2 38 3" xfId="12302"/>
    <cellStyle name="表体文字居中 2 38 3 2" xfId="30578"/>
    <cellStyle name="表体文字居中 2 38 3 3" xfId="29825"/>
    <cellStyle name="表体文字居中 2 38 3 4" xfId="21256"/>
    <cellStyle name="表体文字居中 2 38 3 5" xfId="30580"/>
    <cellStyle name="表体文字居中 2 38 3 6" xfId="30582"/>
    <cellStyle name="表体文字居中 2 38 3 7" xfId="1039"/>
    <cellStyle name="表体文字居中 2 38 3 8" xfId="1735"/>
    <cellStyle name="表体文字居中 2 38 4" xfId="12305"/>
    <cellStyle name="表体文字居中 2 38 5" xfId="30584"/>
    <cellStyle name="表体文字居中 2 38 6" xfId="30586"/>
    <cellStyle name="表体文字居中 2 38 7" xfId="20902"/>
    <cellStyle name="表体文字居中 2 38 8" xfId="20906"/>
    <cellStyle name="表体文字居中 2 38 9" xfId="20910"/>
    <cellStyle name="表体文字居中 2 39" xfId="30588"/>
    <cellStyle name="表体文字居中 2 39 10" xfId="17819"/>
    <cellStyle name="表体文字居中 2 39 2" xfId="30590"/>
    <cellStyle name="表体文字居中 2 39 2 2" xfId="30592"/>
    <cellStyle name="表体文字居中 2 39 2 3" xfId="30594"/>
    <cellStyle name="表体文字居中 2 39 2 4" xfId="30596"/>
    <cellStyle name="表体文字居中 2 39 2 5" xfId="30598"/>
    <cellStyle name="表体文字居中 2 39 2 6" xfId="30600"/>
    <cellStyle name="表体文字居中 2 39 2 7" xfId="30602"/>
    <cellStyle name="表体文字居中 2 39 2 8" xfId="30604"/>
    <cellStyle name="表体文字居中 2 39 3" xfId="12308"/>
    <cellStyle name="表体文字居中 2 39 3 2" xfId="30606"/>
    <cellStyle name="表体文字居中 2 39 3 3" xfId="29971"/>
    <cellStyle name="表体文字居中 2 39 3 4" xfId="30608"/>
    <cellStyle name="表体文字居中 2 39 3 5" xfId="30610"/>
    <cellStyle name="表体文字居中 2 39 3 6" xfId="30612"/>
    <cellStyle name="表体文字居中 2 39 3 7" xfId="30614"/>
    <cellStyle name="表体文字居中 2 39 3 8" xfId="30616"/>
    <cellStyle name="表体文字居中 2 39 4" xfId="12311"/>
    <cellStyle name="表体文字居中 2 39 5" xfId="30618"/>
    <cellStyle name="表体文字居中 2 39 6" xfId="30620"/>
    <cellStyle name="表体文字居中 2 39 7" xfId="30622"/>
    <cellStyle name="表体文字居中 2 39 8" xfId="30624"/>
    <cellStyle name="表体文字居中 2 39 9" xfId="30626"/>
    <cellStyle name="表体文字居中 2 4" xfId="30628"/>
    <cellStyle name="表体文字居中 2 4 10" xfId="30629"/>
    <cellStyle name="表体文字居中 2 4 2" xfId="30631"/>
    <cellStyle name="表体文字居中 2 4 2 2" xfId="30632"/>
    <cellStyle name="表体文字居中 2 4 2 3" xfId="30633"/>
    <cellStyle name="表体文字居中 2 4 2 4" xfId="30634"/>
    <cellStyle name="表体文字居中 2 4 2 5" xfId="30635"/>
    <cellStyle name="表体文字居中 2 4 2 6" xfId="30636"/>
    <cellStyle name="表体文字居中 2 4 2 7" xfId="10818"/>
    <cellStyle name="表体文字居中 2 4 2 8" xfId="10820"/>
    <cellStyle name="表体文字居中 2 4 3" xfId="4032"/>
    <cellStyle name="表体文字居中 2 4 3 2" xfId="4035"/>
    <cellStyle name="表体文字居中 2 4 3 3" xfId="1323"/>
    <cellStyle name="表体文字居中 2 4 3 4" xfId="30637"/>
    <cellStyle name="表体文字居中 2 4 3 5" xfId="30638"/>
    <cellStyle name="表体文字居中 2 4 3 6" xfId="30639"/>
    <cellStyle name="表体文字居中 2 4 3 7" xfId="30640"/>
    <cellStyle name="表体文字居中 2 4 3 8" xfId="30641"/>
    <cellStyle name="表体文字居中 2 4 4" xfId="4043"/>
    <cellStyle name="表体文字居中 2 4 5" xfId="4045"/>
    <cellStyle name="表体文字居中 2 4 6" xfId="4047"/>
    <cellStyle name="表体文字居中 2 4 7" xfId="4052"/>
    <cellStyle name="表体文字居中 2 4 8" xfId="4057"/>
    <cellStyle name="表体文字居中 2 4 9" xfId="4066"/>
    <cellStyle name="表体文字居中 2 40" xfId="30487"/>
    <cellStyle name="表体文字居中 2 40 10" xfId="30489"/>
    <cellStyle name="表体文字居中 2 40 2" xfId="5653"/>
    <cellStyle name="表体文字居中 2 40 2 2" xfId="16129"/>
    <cellStyle name="表体文字居中 2 40 2 3" xfId="30491"/>
    <cellStyle name="表体文字居中 2 40 2 4" xfId="30493"/>
    <cellStyle name="表体文字居中 2 40 2 5" xfId="30495"/>
    <cellStyle name="表体文字居中 2 40 2 6" xfId="30497"/>
    <cellStyle name="表体文字居中 2 40 2 7" xfId="30499"/>
    <cellStyle name="表体文字居中 2 40 2 8" xfId="30501"/>
    <cellStyle name="表体文字居中 2 40 3" xfId="11196"/>
    <cellStyle name="表体文字居中 2 40 3 2" xfId="9182"/>
    <cellStyle name="表体文字居中 2 40 3 3" xfId="9185"/>
    <cellStyle name="表体文字居中 2 40 3 4" xfId="8261"/>
    <cellStyle name="表体文字居中 2 40 3 5" xfId="8264"/>
    <cellStyle name="表体文字居中 2 40 3 6" xfId="30503"/>
    <cellStyle name="表体文字居中 2 40 3 7" xfId="30505"/>
    <cellStyle name="表体文字居中 2 40 3 8" xfId="30507"/>
    <cellStyle name="表体文字居中 2 40 4" xfId="11199"/>
    <cellStyle name="表体文字居中 2 40 5" xfId="11202"/>
    <cellStyle name="表体文字居中 2 40 6" xfId="11205"/>
    <cellStyle name="表体文字居中 2 40 7" xfId="11208"/>
    <cellStyle name="表体文字居中 2 40 8" xfId="11211"/>
    <cellStyle name="表体文字居中 2 40 9" xfId="11214"/>
    <cellStyle name="表体文字居中 2 41" xfId="30509"/>
    <cellStyle name="表体文字居中 2 41 10" xfId="30511"/>
    <cellStyle name="表体文字居中 2 41 2" xfId="30513"/>
    <cellStyle name="表体文字居中 2 41 2 2" xfId="28546"/>
    <cellStyle name="表体文字居中 2 41 2 3" xfId="28558"/>
    <cellStyle name="表体文字居中 2 41 2 4" xfId="28562"/>
    <cellStyle name="表体文字居中 2 41 2 5" xfId="28566"/>
    <cellStyle name="表体文字居中 2 41 2 6" xfId="28570"/>
    <cellStyle name="表体文字居中 2 41 2 7" xfId="28574"/>
    <cellStyle name="表体文字居中 2 41 2 8" xfId="28578"/>
    <cellStyle name="表体文字居中 2 41 3" xfId="30515"/>
    <cellStyle name="表体文字居中 2 41 3 2" xfId="28600"/>
    <cellStyle name="表体文字居中 2 41 3 3" xfId="28614"/>
    <cellStyle name="表体文字居中 2 41 3 4" xfId="20762"/>
    <cellStyle name="表体文字居中 2 41 3 5" xfId="28620"/>
    <cellStyle name="表体文字居中 2 41 3 6" xfId="28626"/>
    <cellStyle name="表体文字居中 2 41 3 7" xfId="28632"/>
    <cellStyle name="表体文字居中 2 41 3 8" xfId="28638"/>
    <cellStyle name="表体文字居中 2 41 4" xfId="30519"/>
    <cellStyle name="表体文字居中 2 41 5" xfId="30521"/>
    <cellStyle name="表体文字居中 2 41 6" xfId="30523"/>
    <cellStyle name="表体文字居中 2 41 7" xfId="30525"/>
    <cellStyle name="表体文字居中 2 41 8" xfId="30527"/>
    <cellStyle name="表体文字居中 2 41 9" xfId="30529"/>
    <cellStyle name="表体文字居中 2 42" xfId="30531"/>
    <cellStyle name="表体文字居中 2 42 10" xfId="925"/>
    <cellStyle name="表体文字居中 2 42 2" xfId="30533"/>
    <cellStyle name="表体文字居中 2 42 2 2" xfId="30535"/>
    <cellStyle name="表体文字居中 2 42 2 3" xfId="30537"/>
    <cellStyle name="表体文字居中 2 42 2 4" xfId="30539"/>
    <cellStyle name="表体文字居中 2 42 2 5" xfId="30541"/>
    <cellStyle name="表体文字居中 2 42 2 6" xfId="30543"/>
    <cellStyle name="表体文字居中 2 42 2 7" xfId="30545"/>
    <cellStyle name="表体文字居中 2 42 2 8" xfId="30547"/>
    <cellStyle name="表体文字居中 2 42 3" xfId="30549"/>
    <cellStyle name="表体文字居中 2 42 3 2" xfId="30551"/>
    <cellStyle name="表体文字居中 2 42 3 3" xfId="30553"/>
    <cellStyle name="表体文字居中 2 42 3 4" xfId="21036"/>
    <cellStyle name="表体文字居中 2 42 3 5" xfId="30555"/>
    <cellStyle name="表体文字居中 2 42 3 6" xfId="30557"/>
    <cellStyle name="表体文字居中 2 42 3 7" xfId="30559"/>
    <cellStyle name="表体文字居中 2 42 3 8" xfId="30561"/>
    <cellStyle name="表体文字居中 2 42 4" xfId="30563"/>
    <cellStyle name="表体文字居中 2 42 5" xfId="30565"/>
    <cellStyle name="表体文字居中 2 42 6" xfId="10963"/>
    <cellStyle name="表体文字居中 2 42 7" xfId="20883"/>
    <cellStyle name="表体文字居中 2 42 8" xfId="20887"/>
    <cellStyle name="表体文字居中 2 42 9" xfId="20891"/>
    <cellStyle name="表体文字居中 2 43" xfId="30567"/>
    <cellStyle name="表体文字居中 2 43 10" xfId="835"/>
    <cellStyle name="表体文字居中 2 43 2" xfId="30569"/>
    <cellStyle name="表体文字居中 2 43 2 2" xfId="30571"/>
    <cellStyle name="表体文字居中 2 43 2 3" xfId="30573"/>
    <cellStyle name="表体文字居中 2 43 2 4" xfId="30575"/>
    <cellStyle name="表体文字居中 2 43 2 5" xfId="30577"/>
    <cellStyle name="表体文字居中 2 43 2 6" xfId="11926"/>
    <cellStyle name="表体文字居中 2 43 2 7" xfId="540"/>
    <cellStyle name="表体文字居中 2 43 2 8" xfId="548"/>
    <cellStyle name="表体文字居中 2 43 3" xfId="12303"/>
    <cellStyle name="表体文字居中 2 43 3 2" xfId="30579"/>
    <cellStyle name="表体文字居中 2 43 3 3" xfId="29826"/>
    <cellStyle name="表体文字居中 2 43 3 4" xfId="21257"/>
    <cellStyle name="表体文字居中 2 43 3 5" xfId="30581"/>
    <cellStyle name="表体文字居中 2 43 3 6" xfId="30583"/>
    <cellStyle name="表体文字居中 2 43 3 7" xfId="1038"/>
    <cellStyle name="表体文字居中 2 43 3 8" xfId="1734"/>
    <cellStyle name="表体文字居中 2 43 4" xfId="12306"/>
    <cellStyle name="表体文字居中 2 43 5" xfId="30585"/>
    <cellStyle name="表体文字居中 2 43 6" xfId="30587"/>
    <cellStyle name="表体文字居中 2 43 7" xfId="20903"/>
    <cellStyle name="表体文字居中 2 43 8" xfId="20907"/>
    <cellStyle name="表体文字居中 2 43 9" xfId="20911"/>
    <cellStyle name="表体文字居中 2 44" xfId="30589"/>
    <cellStyle name="表体文字居中 2 44 10" xfId="17820"/>
    <cellStyle name="表体文字居中 2 44 2" xfId="30591"/>
    <cellStyle name="表体文字居中 2 44 2 2" xfId="30593"/>
    <cellStyle name="表体文字居中 2 44 2 3" xfId="30595"/>
    <cellStyle name="表体文字居中 2 44 2 4" xfId="30597"/>
    <cellStyle name="表体文字居中 2 44 2 5" xfId="30599"/>
    <cellStyle name="表体文字居中 2 44 2 6" xfId="30601"/>
    <cellStyle name="表体文字居中 2 44 2 7" xfId="30603"/>
    <cellStyle name="表体文字居中 2 44 2 8" xfId="30605"/>
    <cellStyle name="表体文字居中 2 44 3" xfId="12309"/>
    <cellStyle name="表体文字居中 2 44 3 2" xfId="30607"/>
    <cellStyle name="表体文字居中 2 44 3 3" xfId="29972"/>
    <cellStyle name="表体文字居中 2 44 3 4" xfId="30609"/>
    <cellStyle name="表体文字居中 2 44 3 5" xfId="30611"/>
    <cellStyle name="表体文字居中 2 44 3 6" xfId="30613"/>
    <cellStyle name="表体文字居中 2 44 3 7" xfId="30615"/>
    <cellStyle name="表体文字居中 2 44 3 8" xfId="30617"/>
    <cellStyle name="表体文字居中 2 44 4" xfId="12312"/>
    <cellStyle name="表体文字居中 2 44 5" xfId="30619"/>
    <cellStyle name="表体文字居中 2 44 6" xfId="30621"/>
    <cellStyle name="表体文字居中 2 44 7" xfId="30623"/>
    <cellStyle name="表体文字居中 2 44 8" xfId="30625"/>
    <cellStyle name="表体文字居中 2 44 9" xfId="30627"/>
    <cellStyle name="表体文字居中 2 45" xfId="30642"/>
    <cellStyle name="表体文字居中 2 45 10" xfId="30644"/>
    <cellStyle name="表体文字居中 2 45 2" xfId="5686"/>
    <cellStyle name="表体文字居中 2 45 2 2" xfId="30646"/>
    <cellStyle name="表体文字居中 2 45 2 3" xfId="12038"/>
    <cellStyle name="表体文字居中 2 45 2 4" xfId="12041"/>
    <cellStyle name="表体文字居中 2 45 2 5" xfId="30648"/>
    <cellStyle name="表体文字居中 2 45 2 6" xfId="30650"/>
    <cellStyle name="表体文字居中 2 45 2 7" xfId="30652"/>
    <cellStyle name="表体文字居中 2 45 2 8" xfId="30654"/>
    <cellStyle name="表体文字居中 2 45 3" xfId="12314"/>
    <cellStyle name="表体文字居中 2 45 3 2" xfId="30656"/>
    <cellStyle name="表体文字居中 2 45 3 3" xfId="12046"/>
    <cellStyle name="表体文字居中 2 45 3 4" xfId="12051"/>
    <cellStyle name="表体文字居中 2 45 3 5" xfId="30658"/>
    <cellStyle name="表体文字居中 2 45 3 6" xfId="30660"/>
    <cellStyle name="表体文字居中 2 45 3 7" xfId="30662"/>
    <cellStyle name="表体文字居中 2 45 3 8" xfId="30664"/>
    <cellStyle name="表体文字居中 2 45 4" xfId="12317"/>
    <cellStyle name="表体文字居中 2 45 5" xfId="30666"/>
    <cellStyle name="表体文字居中 2 45 6" xfId="30668"/>
    <cellStyle name="表体文字居中 2 45 7" xfId="30670"/>
    <cellStyle name="表体文字居中 2 45 8" xfId="30672"/>
    <cellStyle name="表体文字居中 2 45 9" xfId="30674"/>
    <cellStyle name="表体文字居中 2 46" xfId="30676"/>
    <cellStyle name="表体文字居中 2 46 10" xfId="25395"/>
    <cellStyle name="表体文字居中 2 46 2" xfId="30678"/>
    <cellStyle name="表体文字居中 2 46 2 2" xfId="30680"/>
    <cellStyle name="表体文字居中 2 46 2 3" xfId="12082"/>
    <cellStyle name="表体文字居中 2 46 2 4" xfId="12085"/>
    <cellStyle name="表体文字居中 2 46 2 5" xfId="30682"/>
    <cellStyle name="表体文字居中 2 46 2 6" xfId="30684"/>
    <cellStyle name="表体文字居中 2 46 2 7" xfId="30686"/>
    <cellStyle name="表体文字居中 2 46 2 8" xfId="30689"/>
    <cellStyle name="表体文字居中 2 46 3" xfId="12319"/>
    <cellStyle name="表体文字居中 2 46 3 2" xfId="30691"/>
    <cellStyle name="表体文字居中 2 46 3 3" xfId="12089"/>
    <cellStyle name="表体文字居中 2 46 3 4" xfId="12094"/>
    <cellStyle name="表体文字居中 2 46 3 5" xfId="25376"/>
    <cellStyle name="表体文字居中 2 46 3 6" xfId="30693"/>
    <cellStyle name="表体文字居中 2 46 3 7" xfId="30695"/>
    <cellStyle name="表体文字居中 2 46 3 8" xfId="30698"/>
    <cellStyle name="表体文字居中 2 46 4" xfId="12325"/>
    <cellStyle name="表体文字居中 2 46 5" xfId="30700"/>
    <cellStyle name="表体文字居中 2 46 6" xfId="30702"/>
    <cellStyle name="表体文字居中 2 46 7" xfId="30704"/>
    <cellStyle name="表体文字居中 2 46 8" xfId="30706"/>
    <cellStyle name="表体文字居中 2 46 9" xfId="30708"/>
    <cellStyle name="表体文字居中 2 47" xfId="30710"/>
    <cellStyle name="表体文字居中 2 47 10" xfId="1955"/>
    <cellStyle name="表体文字居中 2 47 2" xfId="30712"/>
    <cellStyle name="表体文字居中 2 47 2 2" xfId="30714"/>
    <cellStyle name="表体文字居中 2 47 2 3" xfId="30716"/>
    <cellStyle name="表体文字居中 2 47 2 4" xfId="30718"/>
    <cellStyle name="表体文字居中 2 47 2 5" xfId="30720"/>
    <cellStyle name="表体文字居中 2 47 2 6" xfId="30722"/>
    <cellStyle name="表体文字居中 2 47 2 7" xfId="30724"/>
    <cellStyle name="表体文字居中 2 47 2 8" xfId="30727"/>
    <cellStyle name="表体文字居中 2 47 3" xfId="12329"/>
    <cellStyle name="表体文字居中 2 47 3 2" xfId="30729"/>
    <cellStyle name="表体文字居中 2 47 3 3" xfId="30731"/>
    <cellStyle name="表体文字居中 2 47 3 4" xfId="30735"/>
    <cellStyle name="表体文字居中 2 47 3 5" xfId="25459"/>
    <cellStyle name="表体文字居中 2 47 3 6" xfId="30737"/>
    <cellStyle name="表体文字居中 2 47 3 7" xfId="30739"/>
    <cellStyle name="表体文字居中 2 47 3 8" xfId="30742"/>
    <cellStyle name="表体文字居中 2 47 4" xfId="12332"/>
    <cellStyle name="表体文字居中 2 47 5" xfId="6451"/>
    <cellStyle name="表体文字居中 2 47 6" xfId="16568"/>
    <cellStyle name="表体文字居中 2 47 7" xfId="16571"/>
    <cellStyle name="表体文字居中 2 47 8" xfId="16574"/>
    <cellStyle name="表体文字居中 2 47 9" xfId="3083"/>
    <cellStyle name="表体文字居中 2 48" xfId="17276"/>
    <cellStyle name="表体文字居中 2 48 10" xfId="2184"/>
    <cellStyle name="表体文字居中 2 48 2" xfId="30744"/>
    <cellStyle name="表体文字居中 2 48 2 2" xfId="30748"/>
    <cellStyle name="表体文字居中 2 48 2 3" xfId="30750"/>
    <cellStyle name="表体文字居中 2 48 2 4" xfId="30752"/>
    <cellStyle name="表体文字居中 2 48 2 5" xfId="30754"/>
    <cellStyle name="表体文字居中 2 48 2 6" xfId="30756"/>
    <cellStyle name="表体文字居中 2 48 2 7" xfId="2041"/>
    <cellStyle name="表体文字居中 2 48 2 8" xfId="2048"/>
    <cellStyle name="表体文字居中 2 48 3" xfId="12336"/>
    <cellStyle name="表体文字居中 2 48 3 2" xfId="12711"/>
    <cellStyle name="表体文字居中 2 48 3 3" xfId="12714"/>
    <cellStyle name="表体文字居中 2 48 3 4" xfId="12719"/>
    <cellStyle name="表体文字居中 2 48 3 5" xfId="12724"/>
    <cellStyle name="表体文字居中 2 48 3 6" xfId="30758"/>
    <cellStyle name="表体文字居中 2 48 3 7" xfId="2058"/>
    <cellStyle name="表体文字居中 2 48 3 8" xfId="2065"/>
    <cellStyle name="表体文字居中 2 48 4" xfId="12341"/>
    <cellStyle name="表体文字居中 2 48 5" xfId="16578"/>
    <cellStyle name="表体文字居中 2 48 6" xfId="16583"/>
    <cellStyle name="表体文字居中 2 48 7" xfId="16588"/>
    <cellStyle name="表体文字居中 2 48 8" xfId="16591"/>
    <cellStyle name="表体文字居中 2 48 9" xfId="16594"/>
    <cellStyle name="表体文字居中 2 49" xfId="17280"/>
    <cellStyle name="表体文字居中 2 49 10" xfId="17878"/>
    <cellStyle name="表体文字居中 2 49 2" xfId="30760"/>
    <cellStyle name="表体文字居中 2 49 2 2" xfId="30764"/>
    <cellStyle name="表体文字居中 2 49 2 3" xfId="30766"/>
    <cellStyle name="表体文字居中 2 49 2 4" xfId="30768"/>
    <cellStyle name="表体文字居中 2 49 2 5" xfId="30770"/>
    <cellStyle name="表体文字居中 2 49 2 6" xfId="4819"/>
    <cellStyle name="表体文字居中 2 49 2 7" xfId="30772"/>
    <cellStyle name="表体文字居中 2 49 2 8" xfId="30774"/>
    <cellStyle name="表体文字居中 2 49 3" xfId="12347"/>
    <cellStyle name="表体文字居中 2 49 3 2" xfId="30776"/>
    <cellStyle name="表体文字居中 2 49 3 3" xfId="30778"/>
    <cellStyle name="表体文字居中 2 49 3 4" xfId="30781"/>
    <cellStyle name="表体文字居中 2 49 3 5" xfId="26943"/>
    <cellStyle name="表体文字居中 2 49 3 6" xfId="30783"/>
    <cellStyle name="表体文字居中 2 49 3 7" xfId="30785"/>
    <cellStyle name="表体文字居中 2 49 3 8" xfId="30787"/>
    <cellStyle name="表体文字居中 2 49 4" xfId="12352"/>
    <cellStyle name="表体文字居中 2 49 5" xfId="30789"/>
    <cellStyle name="表体文字居中 2 49 6" xfId="30793"/>
    <cellStyle name="表体文字居中 2 49 7" xfId="30797"/>
    <cellStyle name="表体文字居中 2 49 8" xfId="30799"/>
    <cellStyle name="表体文字居中 2 49 9" xfId="30801"/>
    <cellStyle name="表体文字居中 2 5" xfId="30803"/>
    <cellStyle name="表体文字居中 2 5 10" xfId="30804"/>
    <cellStyle name="表体文字居中 2 5 2" xfId="30805"/>
    <cellStyle name="表体文字居中 2 5 2 2" xfId="16770"/>
    <cellStyle name="表体文字居中 2 5 2 3" xfId="16773"/>
    <cellStyle name="表体文字居中 2 5 2 4" xfId="16776"/>
    <cellStyle name="表体文字居中 2 5 2 5" xfId="16779"/>
    <cellStyle name="表体文字居中 2 5 2 6" xfId="16782"/>
    <cellStyle name="表体文字居中 2 5 2 7" xfId="10883"/>
    <cellStyle name="表体文字居中 2 5 2 8" xfId="10886"/>
    <cellStyle name="表体文字居中 2 5 3" xfId="30806"/>
    <cellStyle name="表体文字居中 2 5 3 2" xfId="16817"/>
    <cellStyle name="表体文字居中 2 5 3 3" xfId="16820"/>
    <cellStyle name="表体文字居中 2 5 3 4" xfId="16823"/>
    <cellStyle name="表体文字居中 2 5 3 5" xfId="16826"/>
    <cellStyle name="表体文字居中 2 5 3 6" xfId="16829"/>
    <cellStyle name="表体文字居中 2 5 3 7" xfId="16832"/>
    <cellStyle name="表体文字居中 2 5 3 8" xfId="30807"/>
    <cellStyle name="表体文字居中 2 5 4" xfId="30808"/>
    <cellStyle name="表体文字居中 2 5 5" xfId="30809"/>
    <cellStyle name="表体文字居中 2 5 6" xfId="22670"/>
    <cellStyle name="表体文字居中 2 5 7" xfId="22672"/>
    <cellStyle name="表体文字居中 2 5 8" xfId="22675"/>
    <cellStyle name="表体文字居中 2 5 9" xfId="22678"/>
    <cellStyle name="表体文字居中 2 50" xfId="30643"/>
    <cellStyle name="表体文字居中 2 50 10" xfId="30645"/>
    <cellStyle name="表体文字居中 2 50 2" xfId="5687"/>
    <cellStyle name="表体文字居中 2 50 2 2" xfId="30647"/>
    <cellStyle name="表体文字居中 2 50 2 3" xfId="12039"/>
    <cellStyle name="表体文字居中 2 50 2 4" xfId="12042"/>
    <cellStyle name="表体文字居中 2 50 2 5" xfId="30649"/>
    <cellStyle name="表体文字居中 2 50 2 6" xfId="30651"/>
    <cellStyle name="表体文字居中 2 50 2 7" xfId="30653"/>
    <cellStyle name="表体文字居中 2 50 2 8" xfId="30655"/>
    <cellStyle name="表体文字居中 2 50 3" xfId="12315"/>
    <cellStyle name="表体文字居中 2 50 3 2" xfId="30657"/>
    <cellStyle name="表体文字居中 2 50 3 3" xfId="12047"/>
    <cellStyle name="表体文字居中 2 50 3 4" xfId="12052"/>
    <cellStyle name="表体文字居中 2 50 3 5" xfId="30659"/>
    <cellStyle name="表体文字居中 2 50 3 6" xfId="30661"/>
    <cellStyle name="表体文字居中 2 50 3 7" xfId="30663"/>
    <cellStyle name="表体文字居中 2 50 3 8" xfId="30665"/>
    <cellStyle name="表体文字居中 2 50 4" xfId="12318"/>
    <cellStyle name="表体文字居中 2 50 5" xfId="30667"/>
    <cellStyle name="表体文字居中 2 50 6" xfId="30669"/>
    <cellStyle name="表体文字居中 2 50 7" xfId="30671"/>
    <cellStyle name="表体文字居中 2 50 8" xfId="30673"/>
    <cellStyle name="表体文字居中 2 50 9" xfId="30675"/>
    <cellStyle name="表体文字居中 2 51" xfId="30677"/>
    <cellStyle name="表体文字居中 2 51 10" xfId="25396"/>
    <cellStyle name="表体文字居中 2 51 2" xfId="30679"/>
    <cellStyle name="表体文字居中 2 51 2 2" xfId="30681"/>
    <cellStyle name="表体文字居中 2 51 2 3" xfId="12083"/>
    <cellStyle name="表体文字居中 2 51 2 4" xfId="12086"/>
    <cellStyle name="表体文字居中 2 51 2 5" xfId="30683"/>
    <cellStyle name="表体文字居中 2 51 2 6" xfId="30685"/>
    <cellStyle name="表体文字居中 2 51 2 7" xfId="30687"/>
    <cellStyle name="表体文字居中 2 51 2 8" xfId="30690"/>
    <cellStyle name="表体文字居中 2 51 3" xfId="12320"/>
    <cellStyle name="表体文字居中 2 51 3 2" xfId="30692"/>
    <cellStyle name="表体文字居中 2 51 3 3" xfId="12090"/>
    <cellStyle name="表体文字居中 2 51 3 4" xfId="12095"/>
    <cellStyle name="表体文字居中 2 51 3 5" xfId="25377"/>
    <cellStyle name="表体文字居中 2 51 3 6" xfId="30694"/>
    <cellStyle name="表体文字居中 2 51 3 7" xfId="30696"/>
    <cellStyle name="表体文字居中 2 51 3 8" xfId="30699"/>
    <cellStyle name="表体文字居中 2 51 4" xfId="12326"/>
    <cellStyle name="表体文字居中 2 51 5" xfId="30701"/>
    <cellStyle name="表体文字居中 2 51 6" xfId="30703"/>
    <cellStyle name="表体文字居中 2 51 7" xfId="30705"/>
    <cellStyle name="表体文字居中 2 51 8" xfId="30707"/>
    <cellStyle name="表体文字居中 2 51 9" xfId="30709"/>
    <cellStyle name="表体文字居中 2 52" xfId="30711"/>
    <cellStyle name="表体文字居中 2 52 10" xfId="1954"/>
    <cellStyle name="表体文字居中 2 52 2" xfId="30713"/>
    <cellStyle name="表体文字居中 2 52 2 2" xfId="30715"/>
    <cellStyle name="表体文字居中 2 52 2 3" xfId="30717"/>
    <cellStyle name="表体文字居中 2 52 2 4" xfId="30719"/>
    <cellStyle name="表体文字居中 2 52 2 5" xfId="30721"/>
    <cellStyle name="表体文字居中 2 52 2 6" xfId="30723"/>
    <cellStyle name="表体文字居中 2 52 2 7" xfId="30725"/>
    <cellStyle name="表体文字居中 2 52 2 8" xfId="30728"/>
    <cellStyle name="表体文字居中 2 52 3" xfId="12330"/>
    <cellStyle name="表体文字居中 2 52 3 2" xfId="30730"/>
    <cellStyle name="表体文字居中 2 52 3 3" xfId="30732"/>
    <cellStyle name="表体文字居中 2 52 3 4" xfId="30736"/>
    <cellStyle name="表体文字居中 2 52 3 5" xfId="25460"/>
    <cellStyle name="表体文字居中 2 52 3 6" xfId="30738"/>
    <cellStyle name="表体文字居中 2 52 3 7" xfId="30740"/>
    <cellStyle name="表体文字居中 2 52 3 8" xfId="30743"/>
    <cellStyle name="表体文字居中 2 52 4" xfId="12333"/>
    <cellStyle name="表体文字居中 2 52 5" xfId="6452"/>
    <cellStyle name="表体文字居中 2 52 6" xfId="16569"/>
    <cellStyle name="表体文字居中 2 52 7" xfId="16572"/>
    <cellStyle name="表体文字居中 2 52 8" xfId="16575"/>
    <cellStyle name="表体文字居中 2 52 9" xfId="3082"/>
    <cellStyle name="表体文字居中 2 53" xfId="17277"/>
    <cellStyle name="表体文字居中 2 53 10" xfId="2183"/>
    <cellStyle name="表体文字居中 2 53 2" xfId="30745"/>
    <cellStyle name="表体文字居中 2 53 2 2" xfId="30749"/>
    <cellStyle name="表体文字居中 2 53 2 3" xfId="30751"/>
    <cellStyle name="表体文字居中 2 53 2 4" xfId="30753"/>
    <cellStyle name="表体文字居中 2 53 2 5" xfId="30755"/>
    <cellStyle name="表体文字居中 2 53 2 6" xfId="30757"/>
    <cellStyle name="表体文字居中 2 53 2 7" xfId="2040"/>
    <cellStyle name="表体文字居中 2 53 2 8" xfId="2047"/>
    <cellStyle name="表体文字居中 2 53 3" xfId="12337"/>
    <cellStyle name="表体文字居中 2 53 3 2" xfId="12712"/>
    <cellStyle name="表体文字居中 2 53 3 3" xfId="12715"/>
    <cellStyle name="表体文字居中 2 53 3 4" xfId="12720"/>
    <cellStyle name="表体文字居中 2 53 3 5" xfId="12725"/>
    <cellStyle name="表体文字居中 2 53 3 6" xfId="30759"/>
    <cellStyle name="表体文字居中 2 53 3 7" xfId="2057"/>
    <cellStyle name="表体文字居中 2 53 3 8" xfId="2064"/>
    <cellStyle name="表体文字居中 2 53 4" xfId="12342"/>
    <cellStyle name="表体文字居中 2 53 5" xfId="16579"/>
    <cellStyle name="表体文字居中 2 53 6" xfId="16584"/>
    <cellStyle name="表体文字居中 2 53 7" xfId="16589"/>
    <cellStyle name="表体文字居中 2 53 8" xfId="16592"/>
    <cellStyle name="表体文字居中 2 53 9" xfId="16595"/>
    <cellStyle name="表体文字居中 2 54" xfId="17281"/>
    <cellStyle name="表体文字居中 2 54 10" xfId="17879"/>
    <cellStyle name="表体文字居中 2 54 2" xfId="30761"/>
    <cellStyle name="表体文字居中 2 54 2 2" xfId="30765"/>
    <cellStyle name="表体文字居中 2 54 2 3" xfId="30767"/>
    <cellStyle name="表体文字居中 2 54 2 4" xfId="30769"/>
    <cellStyle name="表体文字居中 2 54 2 5" xfId="30771"/>
    <cellStyle name="表体文字居中 2 54 2 6" xfId="4820"/>
    <cellStyle name="表体文字居中 2 54 2 7" xfId="30773"/>
    <cellStyle name="表体文字居中 2 54 2 8" xfId="30775"/>
    <cellStyle name="表体文字居中 2 54 3" xfId="12348"/>
    <cellStyle name="表体文字居中 2 54 3 2" xfId="30777"/>
    <cellStyle name="表体文字居中 2 54 3 3" xfId="30779"/>
    <cellStyle name="表体文字居中 2 54 3 4" xfId="30782"/>
    <cellStyle name="表体文字居中 2 54 3 5" xfId="26944"/>
    <cellStyle name="表体文字居中 2 54 3 6" xfId="30784"/>
    <cellStyle name="表体文字居中 2 54 3 7" xfId="30786"/>
    <cellStyle name="表体文字居中 2 54 3 8" xfId="30788"/>
    <cellStyle name="表体文字居中 2 54 4" xfId="12353"/>
    <cellStyle name="表体文字居中 2 54 5" xfId="30790"/>
    <cellStyle name="表体文字居中 2 54 6" xfId="30794"/>
    <cellStyle name="表体文字居中 2 54 7" xfId="30798"/>
    <cellStyle name="表体文字居中 2 54 8" xfId="30800"/>
    <cellStyle name="表体文字居中 2 54 9" xfId="30802"/>
    <cellStyle name="表体文字居中 2 55" xfId="17285"/>
    <cellStyle name="表体文字居中 2 55 10" xfId="21186"/>
    <cellStyle name="表体文字居中 2 55 2" xfId="28132"/>
    <cellStyle name="表体文字居中 2 55 2 2" xfId="30810"/>
    <cellStyle name="表体文字居中 2 55 2 3" xfId="30812"/>
    <cellStyle name="表体文字居中 2 55 2 4" xfId="30814"/>
    <cellStyle name="表体文字居中 2 55 2 5" xfId="30816"/>
    <cellStyle name="表体文字居中 2 55 2 6" xfId="30818"/>
    <cellStyle name="表体文字居中 2 55 2 7" xfId="30820"/>
    <cellStyle name="表体文字居中 2 55 2 8" xfId="30822"/>
    <cellStyle name="表体文字居中 2 55 3" xfId="12360"/>
    <cellStyle name="表体文字居中 2 55 3 2" xfId="30824"/>
    <cellStyle name="表体文字居中 2 55 3 3" xfId="30826"/>
    <cellStyle name="表体文字居中 2 55 3 4" xfId="30828"/>
    <cellStyle name="表体文字居中 2 55 3 5" xfId="27136"/>
    <cellStyle name="表体文字居中 2 55 3 6" xfId="30830"/>
    <cellStyle name="表体文字居中 2 55 3 7" xfId="30832"/>
    <cellStyle name="表体文字居中 2 55 3 8" xfId="30834"/>
    <cellStyle name="表体文字居中 2 55 4" xfId="12365"/>
    <cellStyle name="表体文字居中 2 55 5" xfId="28136"/>
    <cellStyle name="表体文字居中 2 55 6" xfId="28140"/>
    <cellStyle name="表体文字居中 2 55 7" xfId="28144"/>
    <cellStyle name="表体文字居中 2 55 8" xfId="30836"/>
    <cellStyle name="表体文字居中 2 55 9" xfId="30838"/>
    <cellStyle name="表体文字居中 2 56" xfId="17290"/>
    <cellStyle name="表体文字居中 2 56 10" xfId="27271"/>
    <cellStyle name="表体文字居中 2 56 2" xfId="28152"/>
    <cellStyle name="表体文字居中 2 56 2 2" xfId="30840"/>
    <cellStyle name="表体文字居中 2 56 2 3" xfId="30842"/>
    <cellStyle name="表体文字居中 2 56 2 4" xfId="30844"/>
    <cellStyle name="表体文字居中 2 56 2 5" xfId="30846"/>
    <cellStyle name="表体文字居中 2 56 2 6" xfId="30848"/>
    <cellStyle name="表体文字居中 2 56 2 7" xfId="1260"/>
    <cellStyle name="表体文字居中 2 56 2 8" xfId="1265"/>
    <cellStyle name="表体文字居中 2 56 3" xfId="28156"/>
    <cellStyle name="表体文字居中 2 56 3 2" xfId="30850"/>
    <cellStyle name="表体文字居中 2 56 3 3" xfId="30852"/>
    <cellStyle name="表体文字居中 2 56 3 4" xfId="30854"/>
    <cellStyle name="表体文字居中 2 56 3 5" xfId="27259"/>
    <cellStyle name="表体文字居中 2 56 3 6" xfId="30856"/>
    <cellStyle name="表体文字居中 2 56 3 7" xfId="1273"/>
    <cellStyle name="表体文字居中 2 56 3 8" xfId="1276"/>
    <cellStyle name="表体文字居中 2 56 4" xfId="28162"/>
    <cellStyle name="表体文字居中 2 56 5" xfId="28166"/>
    <cellStyle name="表体文字居中 2 56 6" xfId="10393"/>
    <cellStyle name="表体文字居中 2 56 7" xfId="10400"/>
    <cellStyle name="表体文字居中 2 56 8" xfId="10408"/>
    <cellStyle name="表体文字居中 2 56 9" xfId="10411"/>
    <cellStyle name="表体文字居中 2 57" xfId="17295"/>
    <cellStyle name="表体文字居中 2 57 10" xfId="2315"/>
    <cellStyle name="表体文字居中 2 57 2" xfId="30858"/>
    <cellStyle name="表体文字居中 2 57 2 2" xfId="30860"/>
    <cellStyle name="表体文字居中 2 57 2 3" xfId="30862"/>
    <cellStyle name="表体文字居中 2 57 2 4" xfId="30864"/>
    <cellStyle name="表体文字居中 2 57 2 5" xfId="30866"/>
    <cellStyle name="表体文字居中 2 57 2 6" xfId="30868"/>
    <cellStyle name="表体文字居中 2 57 2 7" xfId="1287"/>
    <cellStyle name="表体文字居中 2 57 2 8" xfId="1290"/>
    <cellStyle name="表体文字居中 2 57 3" xfId="30870"/>
    <cellStyle name="表体文字居中 2 57 3 2" xfId="30872"/>
    <cellStyle name="表体文字居中 2 57 3 3" xfId="30874"/>
    <cellStyle name="表体文字居中 2 57 3 4" xfId="30876"/>
    <cellStyle name="表体文字居中 2 57 3 5" xfId="27328"/>
    <cellStyle name="表体文字居中 2 57 3 6" xfId="30878"/>
    <cellStyle name="表体文字居中 2 57 3 7" xfId="948"/>
    <cellStyle name="表体文字居中 2 57 3 8" xfId="958"/>
    <cellStyle name="表体文字居中 2 57 4" xfId="30880"/>
    <cellStyle name="表体文字居中 2 57 5" xfId="7536"/>
    <cellStyle name="表体文字居中 2 57 6" xfId="10418"/>
    <cellStyle name="表体文字居中 2 57 7" xfId="10421"/>
    <cellStyle name="表体文字居中 2 57 8" xfId="10424"/>
    <cellStyle name="表体文字居中 2 57 9" xfId="3173"/>
    <cellStyle name="表体文字居中 2 58" xfId="17300"/>
    <cellStyle name="表体文字居中 2 58 10" xfId="2526"/>
    <cellStyle name="表体文字居中 2 58 2" xfId="30882"/>
    <cellStyle name="表体文字居中 2 58 2 2" xfId="1491"/>
    <cellStyle name="表体文字居中 2 58 2 3" xfId="1509"/>
    <cellStyle name="表体文字居中 2 58 2 4" xfId="1533"/>
    <cellStyle name="表体文字居中 2 58 2 5" xfId="1545"/>
    <cellStyle name="表体文字居中 2 58 2 6" xfId="421"/>
    <cellStyle name="表体文字居中 2 58 2 7" xfId="437"/>
    <cellStyle name="表体文字居中 2 58 2 8" xfId="98"/>
    <cellStyle name="表体文字居中 2 58 3" xfId="30884"/>
    <cellStyle name="表体文字居中 2 58 3 2" xfId="889"/>
    <cellStyle name="表体文字居中 2 58 3 3" xfId="899"/>
    <cellStyle name="表体文字居中 2 58 3 4" xfId="911"/>
    <cellStyle name="表体文字居中 2 58 3 5" xfId="714"/>
    <cellStyle name="表体文字居中 2 58 3 6" xfId="470"/>
    <cellStyle name="表体文字居中 2 58 3 7" xfId="479"/>
    <cellStyle name="表体文字居中 2 58 3 8" xfId="1304"/>
    <cellStyle name="表体文字居中 2 58 4" xfId="30886"/>
    <cellStyle name="表体文字居中 2 58 5" xfId="30888"/>
    <cellStyle name="表体文字居中 2 58 6" xfId="10434"/>
    <cellStyle name="表体文字居中 2 58 7" xfId="10438"/>
    <cellStyle name="表体文字居中 2 58 8" xfId="10442"/>
    <cellStyle name="表体文字居中 2 58 9" xfId="10446"/>
    <cellStyle name="表体文字居中 2 59" xfId="17305"/>
    <cellStyle name="表体文字居中 2 59 10" xfId="17927"/>
    <cellStyle name="表体文字居中 2 59 2" xfId="30890"/>
    <cellStyle name="表体文字居中 2 59 2 2" xfId="30892"/>
    <cellStyle name="表体文字居中 2 59 2 3" xfId="30894"/>
    <cellStyle name="表体文字居中 2 59 2 4" xfId="30896"/>
    <cellStyle name="表体文字居中 2 59 2 5" xfId="30898"/>
    <cellStyle name="表体文字居中 2 59 2 6" xfId="30900"/>
    <cellStyle name="表体文字居中 2 59 2 7" xfId="30902"/>
    <cellStyle name="表体文字居中 2 59 2 8" xfId="30904"/>
    <cellStyle name="表体文字居中 2 59 3" xfId="30906"/>
    <cellStyle name="表体文字居中 2 59 3 2" xfId="30908"/>
    <cellStyle name="表体文字居中 2 59 3 3" xfId="30910"/>
    <cellStyle name="表体文字居中 2 59 3 4" xfId="30912"/>
    <cellStyle name="表体文字居中 2 59 3 5" xfId="30914"/>
    <cellStyle name="表体文字居中 2 59 3 6" xfId="30916"/>
    <cellStyle name="表体文字居中 2 59 3 7" xfId="30918"/>
    <cellStyle name="表体文字居中 2 59 3 8" xfId="30920"/>
    <cellStyle name="表体文字居中 2 59 4" xfId="30922"/>
    <cellStyle name="表体文字居中 2 59 5" xfId="5068"/>
    <cellStyle name="表体文字居中 2 59 6" xfId="5071"/>
    <cellStyle name="表体文字居中 2 59 7" xfId="16872"/>
    <cellStyle name="表体文字居中 2 59 8" xfId="16875"/>
    <cellStyle name="表体文字居中 2 59 9" xfId="16878"/>
    <cellStyle name="表体文字居中 2 6" xfId="30924"/>
    <cellStyle name="表体文字居中 2 6 10" xfId="30925"/>
    <cellStyle name="表体文字居中 2 6 2" xfId="30926"/>
    <cellStyle name="表体文字居中 2 6 2 2" xfId="19407"/>
    <cellStyle name="表体文字居中 2 6 2 3" xfId="1072"/>
    <cellStyle name="表体文字居中 2 6 2 4" xfId="1079"/>
    <cellStyle name="表体文字居中 2 6 2 5" xfId="19409"/>
    <cellStyle name="表体文字居中 2 6 2 6" xfId="19411"/>
    <cellStyle name="表体文字居中 2 6 2 7" xfId="10932"/>
    <cellStyle name="表体文字居中 2 6 2 8" xfId="10934"/>
    <cellStyle name="表体文字居中 2 6 3" xfId="30929"/>
    <cellStyle name="表体文字居中 2 6 3 2" xfId="19420"/>
    <cellStyle name="表体文字居中 2 6 3 3" xfId="19423"/>
    <cellStyle name="表体文字居中 2 6 3 4" xfId="19425"/>
    <cellStyle name="表体文字居中 2 6 3 5" xfId="19427"/>
    <cellStyle name="表体文字居中 2 6 3 6" xfId="19429"/>
    <cellStyle name="表体文字居中 2 6 3 7" xfId="30932"/>
    <cellStyle name="表体文字居中 2 6 3 8" xfId="30933"/>
    <cellStyle name="表体文字居中 2 6 4" xfId="30934"/>
    <cellStyle name="表体文字居中 2 6 5" xfId="13826"/>
    <cellStyle name="表体文字居中 2 6 6" xfId="13831"/>
    <cellStyle name="表体文字居中 2 6 7" xfId="13836"/>
    <cellStyle name="表体文字居中 2 6 8" xfId="13841"/>
    <cellStyle name="表体文字居中 2 6 9" xfId="13844"/>
    <cellStyle name="表体文字居中 2 60" xfId="17286"/>
    <cellStyle name="表体文字居中 2 60 10" xfId="21187"/>
    <cellStyle name="表体文字居中 2 60 2" xfId="28133"/>
    <cellStyle name="表体文字居中 2 60 2 2" xfId="30811"/>
    <cellStyle name="表体文字居中 2 60 2 3" xfId="30813"/>
    <cellStyle name="表体文字居中 2 60 2 4" xfId="30815"/>
    <cellStyle name="表体文字居中 2 60 2 5" xfId="30817"/>
    <cellStyle name="表体文字居中 2 60 2 6" xfId="30819"/>
    <cellStyle name="表体文字居中 2 60 2 7" xfId="30821"/>
    <cellStyle name="表体文字居中 2 60 2 8" xfId="30823"/>
    <cellStyle name="表体文字居中 2 60 3" xfId="12361"/>
    <cellStyle name="表体文字居中 2 60 3 2" xfId="30825"/>
    <cellStyle name="表体文字居中 2 60 3 3" xfId="30827"/>
    <cellStyle name="表体文字居中 2 60 3 4" xfId="30829"/>
    <cellStyle name="表体文字居中 2 60 3 5" xfId="27137"/>
    <cellStyle name="表体文字居中 2 60 3 6" xfId="30831"/>
    <cellStyle name="表体文字居中 2 60 3 7" xfId="30833"/>
    <cellStyle name="表体文字居中 2 60 3 8" xfId="30835"/>
    <cellStyle name="表体文字居中 2 60 4" xfId="12366"/>
    <cellStyle name="表体文字居中 2 60 5" xfId="28137"/>
    <cellStyle name="表体文字居中 2 60 6" xfId="28141"/>
    <cellStyle name="表体文字居中 2 60 7" xfId="28145"/>
    <cellStyle name="表体文字居中 2 60 8" xfId="30837"/>
    <cellStyle name="表体文字居中 2 60 9" xfId="30839"/>
    <cellStyle name="表体文字居中 2 61" xfId="17291"/>
    <cellStyle name="表体文字居中 2 61 10" xfId="27272"/>
    <cellStyle name="表体文字居中 2 61 2" xfId="28153"/>
    <cellStyle name="表体文字居中 2 61 2 2" xfId="30841"/>
    <cellStyle name="表体文字居中 2 61 2 3" xfId="30843"/>
    <cellStyle name="表体文字居中 2 61 2 4" xfId="30845"/>
    <cellStyle name="表体文字居中 2 61 2 5" xfId="30847"/>
    <cellStyle name="表体文字居中 2 61 2 6" xfId="30849"/>
    <cellStyle name="表体文字居中 2 61 2 7" xfId="1259"/>
    <cellStyle name="表体文字居中 2 61 2 8" xfId="1264"/>
    <cellStyle name="表体文字居中 2 61 3" xfId="28157"/>
    <cellStyle name="表体文字居中 2 61 3 2" xfId="30851"/>
    <cellStyle name="表体文字居中 2 61 3 3" xfId="30853"/>
    <cellStyle name="表体文字居中 2 61 3 4" xfId="30855"/>
    <cellStyle name="表体文字居中 2 61 3 5" xfId="27260"/>
    <cellStyle name="表体文字居中 2 61 3 6" xfId="30857"/>
    <cellStyle name="表体文字居中 2 61 3 7" xfId="1272"/>
    <cellStyle name="表体文字居中 2 61 3 8" xfId="1275"/>
    <cellStyle name="表体文字居中 2 61 4" xfId="28163"/>
    <cellStyle name="表体文字居中 2 61 5" xfId="28167"/>
    <cellStyle name="表体文字居中 2 61 6" xfId="10394"/>
    <cellStyle name="表体文字居中 2 61 7" xfId="10401"/>
    <cellStyle name="表体文字居中 2 61 8" xfId="10409"/>
    <cellStyle name="表体文字居中 2 61 9" xfId="10412"/>
    <cellStyle name="表体文字居中 2 62" xfId="17296"/>
    <cellStyle name="表体文字居中 2 62 10" xfId="2314"/>
    <cellStyle name="表体文字居中 2 62 2" xfId="30859"/>
    <cellStyle name="表体文字居中 2 62 2 2" xfId="30861"/>
    <cellStyle name="表体文字居中 2 62 2 3" xfId="30863"/>
    <cellStyle name="表体文字居中 2 62 2 4" xfId="30865"/>
    <cellStyle name="表体文字居中 2 62 2 5" xfId="30867"/>
    <cellStyle name="表体文字居中 2 62 2 6" xfId="30869"/>
    <cellStyle name="表体文字居中 2 62 2 7" xfId="1286"/>
    <cellStyle name="表体文字居中 2 62 2 8" xfId="1289"/>
    <cellStyle name="表体文字居中 2 62 3" xfId="30871"/>
    <cellStyle name="表体文字居中 2 62 3 2" xfId="30873"/>
    <cellStyle name="表体文字居中 2 62 3 3" xfId="30875"/>
    <cellStyle name="表体文字居中 2 62 3 4" xfId="30877"/>
    <cellStyle name="表体文字居中 2 62 3 5" xfId="27329"/>
    <cellStyle name="表体文字居中 2 62 3 6" xfId="30879"/>
    <cellStyle name="表体文字居中 2 62 3 7" xfId="947"/>
    <cellStyle name="表体文字居中 2 62 3 8" xfId="957"/>
    <cellStyle name="表体文字居中 2 62 4" xfId="30881"/>
    <cellStyle name="表体文字居中 2 62 5" xfId="7537"/>
    <cellStyle name="表体文字居中 2 62 6" xfId="10419"/>
    <cellStyle name="表体文字居中 2 62 7" xfId="10422"/>
    <cellStyle name="表体文字居中 2 62 8" xfId="10425"/>
    <cellStyle name="表体文字居中 2 62 9" xfId="3172"/>
    <cellStyle name="表体文字居中 2 63" xfId="17301"/>
    <cellStyle name="表体文字居中 2 63 10" xfId="2525"/>
    <cellStyle name="表体文字居中 2 63 2" xfId="30883"/>
    <cellStyle name="表体文字居中 2 63 2 2" xfId="1490"/>
    <cellStyle name="表体文字居中 2 63 2 3" xfId="1508"/>
    <cellStyle name="表体文字居中 2 63 2 4" xfId="1532"/>
    <cellStyle name="表体文字居中 2 63 2 5" xfId="1544"/>
    <cellStyle name="表体文字居中 2 63 2 6" xfId="422"/>
    <cellStyle name="表体文字居中 2 63 2 7" xfId="438"/>
    <cellStyle name="表体文字居中 2 63 2 8" xfId="99"/>
    <cellStyle name="表体文字居中 2 63 3" xfId="30885"/>
    <cellStyle name="表体文字居中 2 63 3 2" xfId="888"/>
    <cellStyle name="表体文字居中 2 63 3 3" xfId="898"/>
    <cellStyle name="表体文字居中 2 63 3 4" xfId="910"/>
    <cellStyle name="表体文字居中 2 63 3 5" xfId="713"/>
    <cellStyle name="表体文字居中 2 63 3 6" xfId="469"/>
    <cellStyle name="表体文字居中 2 63 3 7" xfId="478"/>
    <cellStyle name="表体文字居中 2 63 3 8" xfId="1303"/>
    <cellStyle name="表体文字居中 2 63 4" xfId="30887"/>
    <cellStyle name="表体文字居中 2 63 5" xfId="30889"/>
    <cellStyle name="表体文字居中 2 63 6" xfId="10435"/>
    <cellStyle name="表体文字居中 2 63 7" xfId="10439"/>
    <cellStyle name="表体文字居中 2 63 8" xfId="10443"/>
    <cellStyle name="表体文字居中 2 63 9" xfId="10447"/>
    <cellStyle name="表体文字居中 2 64" xfId="17306"/>
    <cellStyle name="表体文字居中 2 64 10" xfId="17928"/>
    <cellStyle name="表体文字居中 2 64 2" xfId="30891"/>
    <cellStyle name="表体文字居中 2 64 2 2" xfId="30893"/>
    <cellStyle name="表体文字居中 2 64 2 3" xfId="30895"/>
    <cellStyle name="表体文字居中 2 64 2 4" xfId="30897"/>
    <cellStyle name="表体文字居中 2 64 2 5" xfId="30899"/>
    <cellStyle name="表体文字居中 2 64 2 6" xfId="30901"/>
    <cellStyle name="表体文字居中 2 64 2 7" xfId="30903"/>
    <cellStyle name="表体文字居中 2 64 2 8" xfId="30905"/>
    <cellStyle name="表体文字居中 2 64 3" xfId="30907"/>
    <cellStyle name="表体文字居中 2 64 3 2" xfId="30909"/>
    <cellStyle name="表体文字居中 2 64 3 3" xfId="30911"/>
    <cellStyle name="表体文字居中 2 64 3 4" xfId="30913"/>
    <cellStyle name="表体文字居中 2 64 3 5" xfId="30915"/>
    <cellStyle name="表体文字居中 2 64 3 6" xfId="30917"/>
    <cellStyle name="表体文字居中 2 64 3 7" xfId="30919"/>
    <cellStyle name="表体文字居中 2 64 3 8" xfId="30921"/>
    <cellStyle name="表体文字居中 2 64 4" xfId="30923"/>
    <cellStyle name="表体文字居中 2 64 5" xfId="5069"/>
    <cellStyle name="表体文字居中 2 64 6" xfId="5072"/>
    <cellStyle name="表体文字居中 2 64 7" xfId="16873"/>
    <cellStyle name="表体文字居中 2 64 8" xfId="16876"/>
    <cellStyle name="表体文字居中 2 64 9" xfId="16879"/>
    <cellStyle name="表体文字居中 2 65" xfId="30938"/>
    <cellStyle name="表体文字居中 2 65 10" xfId="12993"/>
    <cellStyle name="表体文字居中 2 65 2" xfId="3038"/>
    <cellStyle name="表体文字居中 2 65 2 2" xfId="30940"/>
    <cellStyle name="表体文字居中 2 65 2 3" xfId="30943"/>
    <cellStyle name="表体文字居中 2 65 2 4" xfId="30946"/>
    <cellStyle name="表体文字居中 2 65 2 5" xfId="30949"/>
    <cellStyle name="表体文字居中 2 65 2 6" xfId="30952"/>
    <cellStyle name="表体文字居中 2 65 2 7" xfId="1365"/>
    <cellStyle name="表体文字居中 2 65 2 8" xfId="1368"/>
    <cellStyle name="表体文字居中 2 65 3" xfId="30955"/>
    <cellStyle name="表体文字居中 2 65 3 2" xfId="30956"/>
    <cellStyle name="表体文字居中 2 65 3 3" xfId="30959"/>
    <cellStyle name="表体文字居中 2 65 3 4" xfId="30962"/>
    <cellStyle name="表体文字居中 2 65 3 5" xfId="30965"/>
    <cellStyle name="表体文字居中 2 65 3 6" xfId="30968"/>
    <cellStyle name="表体文字居中 2 65 3 7" xfId="1381"/>
    <cellStyle name="表体文字居中 2 65 3 8" xfId="1392"/>
    <cellStyle name="表体文字居中 2 65 4" xfId="30971"/>
    <cellStyle name="表体文字居中 2 65 5" xfId="30972"/>
    <cellStyle name="表体文字居中 2 65 6" xfId="30973"/>
    <cellStyle name="表体文字居中 2 65 7" xfId="30974"/>
    <cellStyle name="表体文字居中 2 65 8" xfId="30975"/>
    <cellStyle name="表体文字居中 2 65 9" xfId="30976"/>
    <cellStyle name="表体文字居中 2 66" xfId="30978"/>
    <cellStyle name="表体文字居中 2 66 2" xfId="30980"/>
    <cellStyle name="表体文字居中 2 66 3" xfId="30981"/>
    <cellStyle name="表体文字居中 2 66 4" xfId="30984"/>
    <cellStyle name="表体文字居中 2 66 5" xfId="30985"/>
    <cellStyle name="表体文字居中 2 66 6" xfId="30986"/>
    <cellStyle name="表体文字居中 2 66 7" xfId="30987"/>
    <cellStyle name="表体文字居中 2 66 8" xfId="30988"/>
    <cellStyle name="表体文字居中 2 67" xfId="30990"/>
    <cellStyle name="表体文字居中 2 67 2" xfId="11428"/>
    <cellStyle name="表体文字居中 2 67 3" xfId="11430"/>
    <cellStyle name="表体文字居中 2 67 4" xfId="11432"/>
    <cellStyle name="表体文字居中 2 67 5" xfId="30992"/>
    <cellStyle name="表体文字居中 2 67 6" xfId="30993"/>
    <cellStyle name="表体文字居中 2 67 7" xfId="30994"/>
    <cellStyle name="表体文字居中 2 67 8" xfId="30995"/>
    <cellStyle name="表体文字居中 2 68" xfId="30996"/>
    <cellStyle name="表体文字居中 2 69" xfId="30998"/>
    <cellStyle name="表体文字居中 2 7" xfId="660"/>
    <cellStyle name="表体文字居中 2 7 10" xfId="12180"/>
    <cellStyle name="表体文字居中 2 7 2" xfId="31000"/>
    <cellStyle name="表体文字居中 2 7 2 2" xfId="31003"/>
    <cellStyle name="表体文字居中 2 7 2 3" xfId="85"/>
    <cellStyle name="表体文字居中 2 7 2 4" xfId="203"/>
    <cellStyle name="表体文字居中 2 7 2 5" xfId="209"/>
    <cellStyle name="表体文字居中 2 7 2 6" xfId="1718"/>
    <cellStyle name="表体文字居中 2 7 2 7" xfId="917"/>
    <cellStyle name="表体文字居中 2 7 2 8" xfId="807"/>
    <cellStyle name="表体文字居中 2 7 3" xfId="31004"/>
    <cellStyle name="表体文字居中 2 7 3 2" xfId="31007"/>
    <cellStyle name="表体文字居中 2 7 3 3" xfId="1446"/>
    <cellStyle name="表体文字居中 2 7 3 4" xfId="64"/>
    <cellStyle name="表体文字居中 2 7 3 5" xfId="1722"/>
    <cellStyle name="表体文字居中 2 7 3 6" xfId="240"/>
    <cellStyle name="表体文字居中 2 7 3 7" xfId="1724"/>
    <cellStyle name="表体文字居中 2 7 3 8" xfId="1727"/>
    <cellStyle name="表体文字居中 2 7 4" xfId="31008"/>
    <cellStyle name="表体文字居中 2 7 5" xfId="13851"/>
    <cellStyle name="表体文字居中 2 7 6" xfId="13856"/>
    <cellStyle name="表体文字居中 2 7 7" xfId="13861"/>
    <cellStyle name="表体文字居中 2 7 8" xfId="13866"/>
    <cellStyle name="表体文字居中 2 7 9" xfId="13869"/>
    <cellStyle name="表体文字居中 2 70" xfId="30939"/>
    <cellStyle name="表体文字居中 2 71" xfId="30979"/>
    <cellStyle name="表体文字居中 2 72" xfId="30991"/>
    <cellStyle name="表体文字居中 2 73" xfId="30997"/>
    <cellStyle name="表体文字居中 2 74" xfId="30999"/>
    <cellStyle name="表体文字居中 2 8" xfId="663"/>
    <cellStyle name="表体文字居中 2 8 10" xfId="12206"/>
    <cellStyle name="表体文字居中 2 8 2" xfId="6977"/>
    <cellStyle name="表体文字居中 2 8 2 2" xfId="7520"/>
    <cellStyle name="表体文字居中 2 8 2 3" xfId="1135"/>
    <cellStyle name="表体文字居中 2 8 2 4" xfId="1142"/>
    <cellStyle name="表体文字居中 2 8 2 5" xfId="1935"/>
    <cellStyle name="表体文字居中 2 8 2 6" xfId="1939"/>
    <cellStyle name="表体文字居中 2 8 2 7" xfId="1943"/>
    <cellStyle name="表体文字居中 2 8 2 8" xfId="1947"/>
    <cellStyle name="表体文字居中 2 8 3" xfId="4252"/>
    <cellStyle name="表体文字居中 2 8 3 2" xfId="7522"/>
    <cellStyle name="表体文字居中 2 8 3 3" xfId="1158"/>
    <cellStyle name="表体文字居中 2 8 3 4" xfId="1169"/>
    <cellStyle name="表体文字居中 2 8 3 5" xfId="1977"/>
    <cellStyle name="表体文字居中 2 8 3 6" xfId="1981"/>
    <cellStyle name="表体文字居中 2 8 3 7" xfId="1985"/>
    <cellStyle name="表体文字居中 2 8 3 8" xfId="1989"/>
    <cellStyle name="表体文字居中 2 8 4" xfId="4255"/>
    <cellStyle name="表体文字居中 2 8 5" xfId="7524"/>
    <cellStyle name="表体文字居中 2 8 6" xfId="7526"/>
    <cellStyle name="表体文字居中 2 8 7" xfId="7529"/>
    <cellStyle name="表体文字居中 2 8 8" xfId="7532"/>
    <cellStyle name="表体文字居中 2 8 9" xfId="31011"/>
    <cellStyle name="表体文字居中 2 9" xfId="11147"/>
    <cellStyle name="表体文字居中 2 9 10" xfId="10427"/>
    <cellStyle name="表体文字居中 2 9 2" xfId="7540"/>
    <cellStyle name="表体文字居中 2 9 2 2" xfId="7543"/>
    <cellStyle name="表体文字居中 2 9 2 3" xfId="1608"/>
    <cellStyle name="表体文字居中 2 9 2 4" xfId="1614"/>
    <cellStyle name="表体文字居中 2 9 2 5" xfId="2301"/>
    <cellStyle name="表体文字居中 2 9 2 6" xfId="2304"/>
    <cellStyle name="表体文字居中 2 9 2 7" xfId="2308"/>
    <cellStyle name="表体文字居中 2 9 2 8" xfId="27"/>
    <cellStyle name="表体文字居中 2 9 3" xfId="4260"/>
    <cellStyle name="表体文字居中 2 9 3 2" xfId="6148"/>
    <cellStyle name="表体文字居中 2 9 3 3" xfId="1238"/>
    <cellStyle name="表体文字居中 2 9 3 4" xfId="1250"/>
    <cellStyle name="表体文字居中 2 9 3 5" xfId="2333"/>
    <cellStyle name="表体文字居中 2 9 3 6" xfId="2336"/>
    <cellStyle name="表体文字居中 2 9 3 7" xfId="2340"/>
    <cellStyle name="表体文字居中 2 9 3 8" xfId="2344"/>
    <cellStyle name="表体文字居中 2 9 4" xfId="4263"/>
    <cellStyle name="表体文字居中 2 9 5" xfId="7545"/>
    <cellStyle name="表体文字居中 2 9 6" xfId="7547"/>
    <cellStyle name="表体文字居中 2 9 7" xfId="7549"/>
    <cellStyle name="表体文字居中 2 9 8" xfId="7554"/>
    <cellStyle name="表体文字居中 2 9 9" xfId="31012"/>
    <cellStyle name="表体文字居中 20" xfId="29905"/>
    <cellStyle name="表体文字居中 20 10" xfId="18149"/>
    <cellStyle name="表体文字居中 20 2" xfId="29907"/>
    <cellStyle name="表体文字居中 20 2 2" xfId="29909"/>
    <cellStyle name="表体文字居中 20 2 3" xfId="29913"/>
    <cellStyle name="表体文字居中 20 2 4" xfId="29917"/>
    <cellStyle name="表体文字居中 20 2 5" xfId="29921"/>
    <cellStyle name="表体文字居中 20 2 6" xfId="29925"/>
    <cellStyle name="表体文字居中 20 2 7" xfId="29929"/>
    <cellStyle name="表体文字居中 20 2 8" xfId="29933"/>
    <cellStyle name="表体文字居中 20 3" xfId="29938"/>
    <cellStyle name="表体文字居中 20 3 2" xfId="29940"/>
    <cellStyle name="表体文字居中 20 3 3" xfId="29945"/>
    <cellStyle name="表体文字居中 20 3 4" xfId="29949"/>
    <cellStyle name="表体文字居中 20 3 5" xfId="29953"/>
    <cellStyle name="表体文字居中 20 3 6" xfId="10038"/>
    <cellStyle name="表体文字居中 20 3 7" xfId="10043"/>
    <cellStyle name="表体文字居中 20 3 8" xfId="10048"/>
    <cellStyle name="表体文字居中 20 4" xfId="29957"/>
    <cellStyle name="表体文字居中 20 5" xfId="29959"/>
    <cellStyle name="表体文字居中 20 6" xfId="29961"/>
    <cellStyle name="表体文字居中 20 7" xfId="29963"/>
    <cellStyle name="表体文字居中 20 8" xfId="29965"/>
    <cellStyle name="表体文字居中 20 9" xfId="29967"/>
    <cellStyle name="表体文字居中 21" xfId="29969"/>
    <cellStyle name="表体文字居中 21 10" xfId="29973"/>
    <cellStyle name="表体文字居中 21 2" xfId="29975"/>
    <cellStyle name="表体文字居中 21 2 2" xfId="29977"/>
    <cellStyle name="表体文字居中 21 2 3" xfId="29980"/>
    <cellStyle name="表体文字居中 21 2 4" xfId="29983"/>
    <cellStyle name="表体文字居中 21 2 5" xfId="29986"/>
    <cellStyle name="表体文字居中 21 2 6" xfId="29989"/>
    <cellStyle name="表体文字居中 21 2 7" xfId="29992"/>
    <cellStyle name="表体文字居中 21 2 8" xfId="29995"/>
    <cellStyle name="表体文字居中 21 3" xfId="29911"/>
    <cellStyle name="表体文字居中 21 3 2" xfId="29998"/>
    <cellStyle name="表体文字居中 21 3 3" xfId="30001"/>
    <cellStyle name="表体文字居中 21 3 4" xfId="30004"/>
    <cellStyle name="表体文字居中 21 3 5" xfId="30007"/>
    <cellStyle name="表体文字居中 21 3 6" xfId="10085"/>
    <cellStyle name="表体文字居中 21 3 7" xfId="10090"/>
    <cellStyle name="表体文字居中 21 3 8" xfId="10095"/>
    <cellStyle name="表体文字居中 21 4" xfId="29915"/>
    <cellStyle name="表体文字居中 21 5" xfId="29919"/>
    <cellStyle name="表体文字居中 21 6" xfId="29923"/>
    <cellStyle name="表体文字居中 21 7" xfId="29927"/>
    <cellStyle name="表体文字居中 21 8" xfId="29931"/>
    <cellStyle name="表体文字居中 21 9" xfId="29935"/>
    <cellStyle name="表体文字居中 22" xfId="30010"/>
    <cellStyle name="表体文字居中 22 10" xfId="30012"/>
    <cellStyle name="表体文字居中 22 2" xfId="30014"/>
    <cellStyle name="表体文字居中 22 2 2" xfId="2061"/>
    <cellStyle name="表体文字居中 22 2 3" xfId="2068"/>
    <cellStyle name="表体文字居中 22 2 4" xfId="5848"/>
    <cellStyle name="表体文字居中 22 2 5" xfId="5423"/>
    <cellStyle name="表体文字居中 22 2 6" xfId="30016"/>
    <cellStyle name="表体文字居中 22 2 7" xfId="30018"/>
    <cellStyle name="表体文字居中 22 2 8" xfId="30020"/>
    <cellStyle name="表体文字居中 22 3" xfId="29942"/>
    <cellStyle name="表体文字居中 22 3 2" xfId="30022"/>
    <cellStyle name="表体文字居中 22 3 3" xfId="30024"/>
    <cellStyle name="表体文字居中 22 3 4" xfId="30026"/>
    <cellStyle name="表体文字居中 22 3 5" xfId="30028"/>
    <cellStyle name="表体文字居中 22 3 6" xfId="10144"/>
    <cellStyle name="表体文字居中 22 3 7" xfId="10148"/>
    <cellStyle name="表体文字居中 22 3 8" xfId="10152"/>
    <cellStyle name="表体文字居中 22 4" xfId="29947"/>
    <cellStyle name="表体文字居中 22 5" xfId="29951"/>
    <cellStyle name="表体文字居中 22 6" xfId="29955"/>
    <cellStyle name="表体文字居中 22 7" xfId="10040"/>
    <cellStyle name="表体文字居中 22 8" xfId="10045"/>
    <cellStyle name="表体文字居中 22 9" xfId="10050"/>
    <cellStyle name="表体文字居中 23" xfId="30030"/>
    <cellStyle name="表体文字居中 23 10" xfId="14072"/>
    <cellStyle name="表体文字居中 23 2" xfId="30032"/>
    <cellStyle name="表体文字居中 23 2 2" xfId="27450"/>
    <cellStyle name="表体文字居中 23 2 3" xfId="27453"/>
    <cellStyle name="表体文字居中 23 2 4" xfId="29261"/>
    <cellStyle name="表体文字居中 23 2 5" xfId="30034"/>
    <cellStyle name="表体文字居中 23 2 6" xfId="30036"/>
    <cellStyle name="表体文字居中 23 2 7" xfId="30038"/>
    <cellStyle name="表体文字居中 23 2 8" xfId="30040"/>
    <cellStyle name="表体文字居中 23 3" xfId="30042"/>
    <cellStyle name="表体文字居中 23 3 2" xfId="27490"/>
    <cellStyle name="表体文字居中 23 3 3" xfId="27495"/>
    <cellStyle name="表体文字居中 23 3 4" xfId="30044"/>
    <cellStyle name="表体文字居中 23 3 5" xfId="30046"/>
    <cellStyle name="表体文字居中 23 3 6" xfId="10194"/>
    <cellStyle name="表体文字居中 23 3 7" xfId="10198"/>
    <cellStyle name="表体文字居中 23 3 8" xfId="10202"/>
    <cellStyle name="表体文字居中 23 4" xfId="30048"/>
    <cellStyle name="表体文字居中 23 5" xfId="4334"/>
    <cellStyle name="表体文字居中 23 6" xfId="30050"/>
    <cellStyle name="表体文字居中 23 7" xfId="10059"/>
    <cellStyle name="表体文字居中 23 8" xfId="10062"/>
    <cellStyle name="表体文字居中 23 9" xfId="10065"/>
    <cellStyle name="表体文字居中 24" xfId="30052"/>
    <cellStyle name="表体文字居中 24 10" xfId="26724"/>
    <cellStyle name="表体文字居中 24 2" xfId="30054"/>
    <cellStyle name="表体文字居中 24 2 2" xfId="29555"/>
    <cellStyle name="表体文字居中 24 2 3" xfId="29559"/>
    <cellStyle name="表体文字居中 24 2 4" xfId="29784"/>
    <cellStyle name="表体文字居中 24 2 5" xfId="30056"/>
    <cellStyle name="表体文字居中 24 2 6" xfId="13335"/>
    <cellStyle name="表体文字居中 24 2 7" xfId="2934"/>
    <cellStyle name="表体文字居中 24 2 8" xfId="13340"/>
    <cellStyle name="表体文字居中 24 3" xfId="30058"/>
    <cellStyle name="表体文字居中 24 3 2" xfId="29608"/>
    <cellStyle name="表体文字居中 24 3 3" xfId="29612"/>
    <cellStyle name="表体文字居中 24 3 4" xfId="30060"/>
    <cellStyle name="表体文字居中 24 3 5" xfId="30062"/>
    <cellStyle name="表体文字居中 24 3 6" xfId="3477"/>
    <cellStyle name="表体文字居中 24 3 7" xfId="10249"/>
    <cellStyle name="表体文字居中 24 3 8" xfId="10256"/>
    <cellStyle name="表体文字居中 24 4" xfId="9399"/>
    <cellStyle name="表体文字居中 24 5" xfId="9402"/>
    <cellStyle name="表体文字居中 24 6" xfId="30064"/>
    <cellStyle name="表体文字居中 24 7" xfId="30066"/>
    <cellStyle name="表体文字居中 24 8" xfId="30068"/>
    <cellStyle name="表体文字居中 24 9" xfId="30070"/>
    <cellStyle name="表体文字居中 25" xfId="31013"/>
    <cellStyle name="表体文字居中 25 10" xfId="12013"/>
    <cellStyle name="表体文字居中 25 2" xfId="31015"/>
    <cellStyle name="表体文字居中 25 2 2" xfId="31017"/>
    <cellStyle name="表体文字居中 25 2 3" xfId="31019"/>
    <cellStyle name="表体文字居中 25 2 4" xfId="31021"/>
    <cellStyle name="表体文字居中 25 2 5" xfId="7752"/>
    <cellStyle name="表体文字居中 25 2 6" xfId="7757"/>
    <cellStyle name="表体文字居中 25 2 7" xfId="13361"/>
    <cellStyle name="表体文字居中 25 2 8" xfId="13365"/>
    <cellStyle name="表体文字居中 25 3" xfId="31024"/>
    <cellStyle name="表体文字居中 25 3 2" xfId="31026"/>
    <cellStyle name="表体文字居中 25 3 3" xfId="31028"/>
    <cellStyle name="表体文字居中 25 3 4" xfId="31030"/>
    <cellStyle name="表体文字居中 25 3 5" xfId="7766"/>
    <cellStyle name="表体文字居中 25 3 6" xfId="7773"/>
    <cellStyle name="表体文字居中 25 3 7" xfId="10335"/>
    <cellStyle name="表体文字居中 25 3 8" xfId="10340"/>
    <cellStyle name="表体文字居中 25 4" xfId="9407"/>
    <cellStyle name="表体文字居中 25 5" xfId="9410"/>
    <cellStyle name="表体文字居中 25 6" xfId="31032"/>
    <cellStyle name="表体文字居中 25 7" xfId="31034"/>
    <cellStyle name="表体文字居中 25 8" xfId="31036"/>
    <cellStyle name="表体文字居中 25 9" xfId="31038"/>
    <cellStyle name="表体文字居中 26" xfId="31040"/>
    <cellStyle name="表体文字居中 26 10" xfId="12048"/>
    <cellStyle name="表体文字居中 26 2" xfId="31042"/>
    <cellStyle name="表体文字居中 26 2 2" xfId="31044"/>
    <cellStyle name="表体文字居中 26 2 3" xfId="31046"/>
    <cellStyle name="表体文字居中 26 2 4" xfId="5369"/>
    <cellStyle name="表体文字居中 26 2 5" xfId="5372"/>
    <cellStyle name="表体文字居中 26 2 6" xfId="13376"/>
    <cellStyle name="表体文字居中 26 2 7" xfId="13379"/>
    <cellStyle name="表体文字居中 26 2 8" xfId="13384"/>
    <cellStyle name="表体文字居中 26 3" xfId="31048"/>
    <cellStyle name="表体文字居中 26 3 2" xfId="31050"/>
    <cellStyle name="表体文字居中 26 3 3" xfId="137"/>
    <cellStyle name="表体文字居中 26 3 4" xfId="5375"/>
    <cellStyle name="表体文字居中 26 3 5" xfId="5378"/>
    <cellStyle name="表体文字居中 26 3 6" xfId="10740"/>
    <cellStyle name="表体文字居中 26 3 7" xfId="10744"/>
    <cellStyle name="表体文字居中 26 3 8" xfId="10748"/>
    <cellStyle name="表体文字居中 26 4" xfId="9416"/>
    <cellStyle name="表体文字居中 26 5" xfId="9419"/>
    <cellStyle name="表体文字居中 26 6" xfId="18534"/>
    <cellStyle name="表体文字居中 26 7" xfId="18539"/>
    <cellStyle name="表体文字居中 26 8" xfId="18544"/>
    <cellStyle name="表体文字居中 26 9" xfId="18549"/>
    <cellStyle name="表体文字居中 27" xfId="31052"/>
    <cellStyle name="表体文字居中 27 10" xfId="31054"/>
    <cellStyle name="表体文字居中 27 2" xfId="31056"/>
    <cellStyle name="表体文字居中 27 2 2" xfId="484"/>
    <cellStyle name="表体文字居中 27 2 3" xfId="31058"/>
    <cellStyle name="表体文字居中 27 2 4" xfId="2487"/>
    <cellStyle name="表体文字居中 27 2 5" xfId="2536"/>
    <cellStyle name="表体文字居中 27 2 6" xfId="13396"/>
    <cellStyle name="表体文字居中 27 2 7" xfId="13399"/>
    <cellStyle name="表体文字居中 27 2 8" xfId="13404"/>
    <cellStyle name="表体文字居中 27 3" xfId="31060"/>
    <cellStyle name="表体文字居中 27 3 2" xfId="520"/>
    <cellStyle name="表体文字居中 27 3 3" xfId="31062"/>
    <cellStyle name="表体文字居中 27 3 4" xfId="2685"/>
    <cellStyle name="表体文字居中 27 3 5" xfId="2694"/>
    <cellStyle name="表体文字居中 27 3 6" xfId="10794"/>
    <cellStyle name="表体文字居中 27 3 7" xfId="10798"/>
    <cellStyle name="表体文字居中 27 3 8" xfId="10802"/>
    <cellStyle name="表体文字居中 27 4" xfId="9424"/>
    <cellStyle name="表体文字居中 27 5" xfId="9427"/>
    <cellStyle name="表体文字居中 27 6" xfId="18566"/>
    <cellStyle name="表体文字居中 27 7" xfId="18571"/>
    <cellStyle name="表体文字居中 27 8" xfId="18576"/>
    <cellStyle name="表体文字居中 27 9" xfId="18581"/>
    <cellStyle name="表体文字居中 28" xfId="31064"/>
    <cellStyle name="表体文字居中 28 10" xfId="14205"/>
    <cellStyle name="表体文字居中 28 2" xfId="31066"/>
    <cellStyle name="表体文字居中 28 2 2" xfId="16680"/>
    <cellStyle name="表体文字居中 28 2 3" xfId="16684"/>
    <cellStyle name="表体文字居中 28 2 4" xfId="16688"/>
    <cellStyle name="表体文字居中 28 2 5" xfId="16692"/>
    <cellStyle name="表体文字居中 28 2 6" xfId="13416"/>
    <cellStyle name="表体文字居中 28 2 7" xfId="13419"/>
    <cellStyle name="表体文字居中 28 2 8" xfId="13424"/>
    <cellStyle name="表体文字居中 28 3" xfId="31068"/>
    <cellStyle name="表体文字居中 28 3 2" xfId="16734"/>
    <cellStyle name="表体文字居中 28 3 3" xfId="16738"/>
    <cellStyle name="表体文字居中 28 3 4" xfId="16742"/>
    <cellStyle name="表体文字居中 28 3 5" xfId="16746"/>
    <cellStyle name="表体文字居中 28 3 6" xfId="10858"/>
    <cellStyle name="表体文字居中 28 3 7" xfId="10862"/>
    <cellStyle name="表体文字居中 28 3 8" xfId="10866"/>
    <cellStyle name="表体文字居中 28 4" xfId="9432"/>
    <cellStyle name="表体文字居中 28 5" xfId="9435"/>
    <cellStyle name="表体文字居中 28 6" xfId="31070"/>
    <cellStyle name="表体文字居中 28 7" xfId="31072"/>
    <cellStyle name="表体文字居中 28 8" xfId="31074"/>
    <cellStyle name="表体文字居中 28 9" xfId="31076"/>
    <cellStyle name="表体文字居中 29" xfId="28583"/>
    <cellStyle name="表体文字居中 29 10" xfId="31078"/>
    <cellStyle name="表体文字居中 29 2" xfId="1374"/>
    <cellStyle name="表体文字居中 29 2 2" xfId="1385"/>
    <cellStyle name="表体文字居中 29 2 3" xfId="1396"/>
    <cellStyle name="表体文字居中 29 2 4" xfId="19371"/>
    <cellStyle name="表体文字居中 29 2 5" xfId="19374"/>
    <cellStyle name="表体文字居中 29 2 6" xfId="13439"/>
    <cellStyle name="表体文字居中 29 2 7" xfId="13443"/>
    <cellStyle name="表体文字居中 29 2 8" xfId="13449"/>
    <cellStyle name="表体文字居中 29 3" xfId="1406"/>
    <cellStyle name="表体文字居中 29 3 2" xfId="19390"/>
    <cellStyle name="表体文字居中 29 3 3" xfId="19393"/>
    <cellStyle name="表体文字居中 29 3 4" xfId="19396"/>
    <cellStyle name="表体文字居中 29 3 5" xfId="19399"/>
    <cellStyle name="表体文字居中 29 3 6" xfId="10921"/>
    <cellStyle name="表体文字居中 29 3 7" xfId="10926"/>
    <cellStyle name="表体文字居中 29 3 8" xfId="8834"/>
    <cellStyle name="表体文字居中 29 4" xfId="1413"/>
    <cellStyle name="表体文字居中 29 5" xfId="9440"/>
    <cellStyle name="表体文字居中 29 6" xfId="28587"/>
    <cellStyle name="表体文字居中 29 7" xfId="28591"/>
    <cellStyle name="表体文字居中 29 8" xfId="28595"/>
    <cellStyle name="表体文字居中 29 9" xfId="31080"/>
    <cellStyle name="表体文字居中 3" xfId="5459"/>
    <cellStyle name="表体文字居中 3 10" xfId="1162"/>
    <cellStyle name="表体文字居中 3 2" xfId="31082"/>
    <cellStyle name="表体文字居中 3 2 2" xfId="31083"/>
    <cellStyle name="表体文字居中 3 2 3" xfId="31084"/>
    <cellStyle name="表体文字居中 3 2 4" xfId="31085"/>
    <cellStyle name="表体文字居中 3 2 5" xfId="31086"/>
    <cellStyle name="表体文字居中 3 2 6" xfId="31087"/>
    <cellStyle name="表体文字居中 3 2 7" xfId="31088"/>
    <cellStyle name="表体文字居中 3 2 8" xfId="31089"/>
    <cellStyle name="表体文字居中 3 3" xfId="26316"/>
    <cellStyle name="表体文字居中 3 3 2" xfId="31090"/>
    <cellStyle name="表体文字居中 3 3 3" xfId="31091"/>
    <cellStyle name="表体文字居中 3 3 4" xfId="31092"/>
    <cellStyle name="表体文字居中 3 3 5" xfId="31093"/>
    <cellStyle name="表体文字居中 3 3 6" xfId="31094"/>
    <cellStyle name="表体文字居中 3 3 7" xfId="31095"/>
    <cellStyle name="表体文字居中 3 3 8" xfId="12433"/>
    <cellStyle name="表体文字居中 3 4" xfId="31096"/>
    <cellStyle name="表体文字居中 3 5" xfId="31097"/>
    <cellStyle name="表体文字居中 3 6" xfId="31098"/>
    <cellStyle name="表体文字居中 3 7" xfId="676"/>
    <cellStyle name="表体文字居中 3 8" xfId="678"/>
    <cellStyle name="表体文字居中 3 9" xfId="11155"/>
    <cellStyle name="表体文字居中 30" xfId="31014"/>
    <cellStyle name="表体文字居中 30 10" xfId="12014"/>
    <cellStyle name="表体文字居中 30 2" xfId="31016"/>
    <cellStyle name="表体文字居中 30 2 2" xfId="31018"/>
    <cellStyle name="表体文字居中 30 2 3" xfId="31020"/>
    <cellStyle name="表体文字居中 30 2 4" xfId="31022"/>
    <cellStyle name="表体文字居中 30 2 5" xfId="7753"/>
    <cellStyle name="表体文字居中 30 2 6" xfId="7758"/>
    <cellStyle name="表体文字居中 30 2 7" xfId="13362"/>
    <cellStyle name="表体文字居中 30 2 8" xfId="13366"/>
    <cellStyle name="表体文字居中 30 3" xfId="31025"/>
    <cellStyle name="表体文字居中 30 3 2" xfId="31027"/>
    <cellStyle name="表体文字居中 30 3 3" xfId="31029"/>
    <cellStyle name="表体文字居中 30 3 4" xfId="31031"/>
    <cellStyle name="表体文字居中 30 3 5" xfId="7767"/>
    <cellStyle name="表体文字居中 30 3 6" xfId="7774"/>
    <cellStyle name="表体文字居中 30 3 7" xfId="10336"/>
    <cellStyle name="表体文字居中 30 3 8" xfId="10341"/>
    <cellStyle name="表体文字居中 30 4" xfId="9408"/>
    <cellStyle name="表体文字居中 30 5" xfId="9411"/>
    <cellStyle name="表体文字居中 30 6" xfId="31033"/>
    <cellStyle name="表体文字居中 30 7" xfId="31035"/>
    <cellStyle name="表体文字居中 30 8" xfId="31037"/>
    <cellStyle name="表体文字居中 30 9" xfId="31039"/>
    <cellStyle name="表体文字居中 31" xfId="31041"/>
    <cellStyle name="表体文字居中 31 10" xfId="12049"/>
    <cellStyle name="表体文字居中 31 2" xfId="31043"/>
    <cellStyle name="表体文字居中 31 2 2" xfId="31045"/>
    <cellStyle name="表体文字居中 31 2 3" xfId="31047"/>
    <cellStyle name="表体文字居中 31 2 4" xfId="5370"/>
    <cellStyle name="表体文字居中 31 2 5" xfId="5373"/>
    <cellStyle name="表体文字居中 31 2 6" xfId="13377"/>
    <cellStyle name="表体文字居中 31 2 7" xfId="13380"/>
    <cellStyle name="表体文字居中 31 2 8" xfId="13385"/>
    <cellStyle name="表体文字居中 31 3" xfId="31049"/>
    <cellStyle name="表体文字居中 31 3 2" xfId="31051"/>
    <cellStyle name="表体文字居中 31 3 3" xfId="138"/>
    <cellStyle name="表体文字居中 31 3 4" xfId="5376"/>
    <cellStyle name="表体文字居中 31 3 5" xfId="5379"/>
    <cellStyle name="表体文字居中 31 3 6" xfId="10741"/>
    <cellStyle name="表体文字居中 31 3 7" xfId="10745"/>
    <cellStyle name="表体文字居中 31 3 8" xfId="10749"/>
    <cellStyle name="表体文字居中 31 4" xfId="9417"/>
    <cellStyle name="表体文字居中 31 5" xfId="9420"/>
    <cellStyle name="表体文字居中 31 6" xfId="18535"/>
    <cellStyle name="表体文字居中 31 7" xfId="18540"/>
    <cellStyle name="表体文字居中 31 8" xfId="18545"/>
    <cellStyle name="表体文字居中 31 9" xfId="18550"/>
    <cellStyle name="表体文字居中 32" xfId="31053"/>
    <cellStyle name="表体文字居中 32 10" xfId="31055"/>
    <cellStyle name="表体文字居中 32 2" xfId="31057"/>
    <cellStyle name="表体文字居中 32 2 2" xfId="483"/>
    <cellStyle name="表体文字居中 32 2 3" xfId="31059"/>
    <cellStyle name="表体文字居中 32 2 4" xfId="2486"/>
    <cellStyle name="表体文字居中 32 2 5" xfId="2535"/>
    <cellStyle name="表体文字居中 32 2 6" xfId="13397"/>
    <cellStyle name="表体文字居中 32 2 7" xfId="13400"/>
    <cellStyle name="表体文字居中 32 2 8" xfId="13405"/>
    <cellStyle name="表体文字居中 32 3" xfId="31061"/>
    <cellStyle name="表体文字居中 32 3 2" xfId="519"/>
    <cellStyle name="表体文字居中 32 3 3" xfId="31063"/>
    <cellStyle name="表体文字居中 32 3 4" xfId="2684"/>
    <cellStyle name="表体文字居中 32 3 5" xfId="2693"/>
    <cellStyle name="表体文字居中 32 3 6" xfId="10795"/>
    <cellStyle name="表体文字居中 32 3 7" xfId="10799"/>
    <cellStyle name="表体文字居中 32 3 8" xfId="10803"/>
    <cellStyle name="表体文字居中 32 4" xfId="9425"/>
    <cellStyle name="表体文字居中 32 5" xfId="9428"/>
    <cellStyle name="表体文字居中 32 6" xfId="18567"/>
    <cellStyle name="表体文字居中 32 7" xfId="18572"/>
    <cellStyle name="表体文字居中 32 8" xfId="18577"/>
    <cellStyle name="表体文字居中 32 9" xfId="18582"/>
    <cellStyle name="表体文字居中 33" xfId="31065"/>
    <cellStyle name="表体文字居中 33 10" xfId="14206"/>
    <cellStyle name="表体文字居中 33 2" xfId="31067"/>
    <cellStyle name="表体文字居中 33 2 2" xfId="16681"/>
    <cellStyle name="表体文字居中 33 2 3" xfId="16685"/>
    <cellStyle name="表体文字居中 33 2 4" xfId="16689"/>
    <cellStyle name="表体文字居中 33 2 5" xfId="16693"/>
    <cellStyle name="表体文字居中 33 2 6" xfId="13417"/>
    <cellStyle name="表体文字居中 33 2 7" xfId="13420"/>
    <cellStyle name="表体文字居中 33 2 8" xfId="13425"/>
    <cellStyle name="表体文字居中 33 3" xfId="31069"/>
    <cellStyle name="表体文字居中 33 3 2" xfId="16735"/>
    <cellStyle name="表体文字居中 33 3 3" xfId="16739"/>
    <cellStyle name="表体文字居中 33 3 4" xfId="16743"/>
    <cellStyle name="表体文字居中 33 3 5" xfId="16747"/>
    <cellStyle name="表体文字居中 33 3 6" xfId="10859"/>
    <cellStyle name="表体文字居中 33 3 7" xfId="10863"/>
    <cellStyle name="表体文字居中 33 3 8" xfId="10867"/>
    <cellStyle name="表体文字居中 33 4" xfId="9433"/>
    <cellStyle name="表体文字居中 33 5" xfId="9436"/>
    <cellStyle name="表体文字居中 33 6" xfId="31071"/>
    <cellStyle name="表体文字居中 33 7" xfId="31073"/>
    <cellStyle name="表体文字居中 33 8" xfId="31075"/>
    <cellStyle name="表体文字居中 33 9" xfId="31077"/>
    <cellStyle name="表体文字居中 34" xfId="28584"/>
    <cellStyle name="表体文字居中 34 10" xfId="31079"/>
    <cellStyle name="表体文字居中 34 2" xfId="1373"/>
    <cellStyle name="表体文字居中 34 2 2" xfId="1384"/>
    <cellStyle name="表体文字居中 34 2 3" xfId="1395"/>
    <cellStyle name="表体文字居中 34 2 4" xfId="19372"/>
    <cellStyle name="表体文字居中 34 2 5" xfId="19375"/>
    <cellStyle name="表体文字居中 34 2 6" xfId="13440"/>
    <cellStyle name="表体文字居中 34 2 7" xfId="13444"/>
    <cellStyle name="表体文字居中 34 2 8" xfId="13450"/>
    <cellStyle name="表体文字居中 34 3" xfId="1405"/>
    <cellStyle name="表体文字居中 34 3 2" xfId="19391"/>
    <cellStyle name="表体文字居中 34 3 3" xfId="19394"/>
    <cellStyle name="表体文字居中 34 3 4" xfId="19397"/>
    <cellStyle name="表体文字居中 34 3 5" xfId="19400"/>
    <cellStyle name="表体文字居中 34 3 6" xfId="10922"/>
    <cellStyle name="表体文字居中 34 3 7" xfId="10927"/>
    <cellStyle name="表体文字居中 34 3 8" xfId="8835"/>
    <cellStyle name="表体文字居中 34 4" xfId="1412"/>
    <cellStyle name="表体文字居中 34 5" xfId="9441"/>
    <cellStyle name="表体文字居中 34 6" xfId="28588"/>
    <cellStyle name="表体文字居中 34 7" xfId="28592"/>
    <cellStyle name="表体文字居中 34 8" xfId="28596"/>
    <cellStyle name="表体文字居中 34 9" xfId="31081"/>
    <cellStyle name="表体文字居中 35" xfId="28601"/>
    <cellStyle name="表体文字居中 35 10" xfId="12066"/>
    <cellStyle name="表体文字居中 35 2" xfId="28605"/>
    <cellStyle name="表体文字居中 35 2 2" xfId="33"/>
    <cellStyle name="表体文字居中 35 2 3" xfId="410"/>
    <cellStyle name="表体文字居中 35 2 4" xfId="6816"/>
    <cellStyle name="表体文字居中 35 2 5" xfId="31099"/>
    <cellStyle name="表体文字居中 35 2 6" xfId="13465"/>
    <cellStyle name="表体文字居中 35 2 7" xfId="13469"/>
    <cellStyle name="表体文字居中 35 2 8" xfId="13475"/>
    <cellStyle name="表体文字居中 35 3" xfId="28609"/>
    <cellStyle name="表体文字居中 35 3 2" xfId="625"/>
    <cellStyle name="表体文字居中 35 3 3" xfId="31101"/>
    <cellStyle name="表体文字居中 35 3 4" xfId="31103"/>
    <cellStyle name="表体文字居中 35 3 5" xfId="31105"/>
    <cellStyle name="表体文字居中 35 3 6" xfId="10970"/>
    <cellStyle name="表体文字居中 35 3 7" xfId="10975"/>
    <cellStyle name="表体文字居中 35 3 8" xfId="10980"/>
    <cellStyle name="表体文字居中 35 4" xfId="1437"/>
    <cellStyle name="表体文字居中 35 5" xfId="693"/>
    <cellStyle name="表体文字居中 35 6" xfId="398"/>
    <cellStyle name="表体文字居中 35 7" xfId="1758"/>
    <cellStyle name="表体文字居中 35 8" xfId="1790"/>
    <cellStyle name="表体文字居中 35 9" xfId="1849"/>
    <cellStyle name="表体文字居中 36" xfId="28615"/>
    <cellStyle name="表体文字居中 36 10" xfId="12091"/>
    <cellStyle name="表体文字居中 36 2" xfId="31107"/>
    <cellStyle name="表体文字居中 36 2 2" xfId="8277"/>
    <cellStyle name="表体文字居中 36 2 3" xfId="8281"/>
    <cellStyle name="表体文字居中 36 2 4" xfId="8284"/>
    <cellStyle name="表体文字居中 36 2 5" xfId="5737"/>
    <cellStyle name="表体文字居中 36 2 6" xfId="13492"/>
    <cellStyle name="表体文字居中 36 2 7" xfId="13497"/>
    <cellStyle name="表体文字居中 36 2 8" xfId="13502"/>
    <cellStyle name="表体文字居中 36 3" xfId="31109"/>
    <cellStyle name="表体文字居中 36 3 2" xfId="1518"/>
    <cellStyle name="表体文字居中 36 3 3" xfId="31111"/>
    <cellStyle name="表体文字居中 36 3 4" xfId="31113"/>
    <cellStyle name="表体文字居中 36 3 5" xfId="2849"/>
    <cellStyle name="表体文字居中 36 3 6" xfId="13522"/>
    <cellStyle name="表体文字居中 36 3 7" xfId="13527"/>
    <cellStyle name="表体文字居中 36 3 8" xfId="13532"/>
    <cellStyle name="表体文字居中 36 4" xfId="1529"/>
    <cellStyle name="表体文字居中 36 5" xfId="1541"/>
    <cellStyle name="表体文字居中 36 6" xfId="424"/>
    <cellStyle name="表体文字居中 36 7" xfId="440"/>
    <cellStyle name="表体文字居中 36 8" xfId="101"/>
    <cellStyle name="表体文字居中 36 9" xfId="2157"/>
    <cellStyle name="表体文字居中 37" xfId="20763"/>
    <cellStyle name="表体文字居中 37 10" xfId="31115"/>
    <cellStyle name="表体文字居中 37 2" xfId="31117"/>
    <cellStyle name="表体文字居中 37 2 2" xfId="19567"/>
    <cellStyle name="表体文字居中 37 2 3" xfId="19570"/>
    <cellStyle name="表体文字居中 37 2 4" xfId="19573"/>
    <cellStyle name="表体文字居中 37 2 5" xfId="19578"/>
    <cellStyle name="表体文字居中 37 2 6" xfId="13571"/>
    <cellStyle name="表体文字居中 37 2 7" xfId="13577"/>
    <cellStyle name="表体文字居中 37 2 8" xfId="13583"/>
    <cellStyle name="表体文字居中 37 3" xfId="31119"/>
    <cellStyle name="表体文字居中 37 3 2" xfId="1597"/>
    <cellStyle name="表体文字居中 37 3 3" xfId="19588"/>
    <cellStyle name="表体文字居中 37 3 4" xfId="19591"/>
    <cellStyle name="表体文字居中 37 3 5" xfId="19596"/>
    <cellStyle name="表体文字居中 37 3 6" xfId="13609"/>
    <cellStyle name="表体文字居中 37 3 7" xfId="13616"/>
    <cellStyle name="表体文字居中 37 3 8" xfId="13622"/>
    <cellStyle name="表体文字居中 37 4" xfId="908"/>
    <cellStyle name="表体文字居中 37 5" xfId="710"/>
    <cellStyle name="表体文字居中 37 6" xfId="466"/>
    <cellStyle name="表体文字居中 37 7" xfId="476"/>
    <cellStyle name="表体文字居中 37 8" xfId="1299"/>
    <cellStyle name="表体文字居中 37 9" xfId="2482"/>
    <cellStyle name="表体文字居中 38" xfId="28621"/>
    <cellStyle name="表体文字居中 38 10" xfId="14293"/>
    <cellStyle name="表体文字居中 38 2" xfId="31121"/>
    <cellStyle name="表体文字居中 38 2 2" xfId="9687"/>
    <cellStyle name="表体文字居中 38 2 3" xfId="9694"/>
    <cellStyle name="表体文字居中 38 2 4" xfId="9701"/>
    <cellStyle name="表体文字居中 38 2 5" xfId="9708"/>
    <cellStyle name="表体文字居中 38 2 6" xfId="9717"/>
    <cellStyle name="表体文字居中 38 2 7" xfId="13663"/>
    <cellStyle name="表体文字居中 38 2 8" xfId="13669"/>
    <cellStyle name="表体文字居中 38 3" xfId="31123"/>
    <cellStyle name="表体文字居中 38 3 2" xfId="22347"/>
    <cellStyle name="表体文字居中 38 3 3" xfId="15279"/>
    <cellStyle name="表体文字居中 38 3 4" xfId="15303"/>
    <cellStyle name="表体文字居中 38 3 5" xfId="15327"/>
    <cellStyle name="表体文字居中 38 3 6" xfId="13692"/>
    <cellStyle name="表体文字居中 38 3 7" xfId="13699"/>
    <cellStyle name="表体文字居中 38 3 8" xfId="6675"/>
    <cellStyle name="表体文字居中 38 4" xfId="1659"/>
    <cellStyle name="表体文字居中 38 5" xfId="1673"/>
    <cellStyle name="表体文字居中 38 6" xfId="508"/>
    <cellStyle name="表体文字居中 38 7" xfId="517"/>
    <cellStyle name="表体文字居中 38 8" xfId="15"/>
    <cellStyle name="表体文字居中 38 9" xfId="2680"/>
    <cellStyle name="表体文字居中 39" xfId="28627"/>
    <cellStyle name="表体文字居中 39 10" xfId="31125"/>
    <cellStyle name="表体文字居中 39 2" xfId="31127"/>
    <cellStyle name="表体文字居中 39 2 2" xfId="31129"/>
    <cellStyle name="表体文字居中 39 2 3" xfId="31131"/>
    <cellStyle name="表体文字居中 39 2 4" xfId="31133"/>
    <cellStyle name="表体文字居中 39 2 5" xfId="31135"/>
    <cellStyle name="表体文字居中 39 2 6" xfId="13748"/>
    <cellStyle name="表体文字居中 39 2 7" xfId="13752"/>
    <cellStyle name="表体文字居中 39 2 8" xfId="13756"/>
    <cellStyle name="表体文字居中 39 3" xfId="31137"/>
    <cellStyle name="表体文字居中 39 3 2" xfId="31139"/>
    <cellStyle name="表体文字居中 39 3 3" xfId="31141"/>
    <cellStyle name="表体文字居中 39 3 4" xfId="31143"/>
    <cellStyle name="表体文字居中 39 3 5" xfId="31145"/>
    <cellStyle name="表体文字居中 39 3 6" xfId="13779"/>
    <cellStyle name="表体文字居中 39 3 7" xfId="13783"/>
    <cellStyle name="表体文字居中 39 3 8" xfId="13787"/>
    <cellStyle name="表体文字居中 39 4" xfId="2707"/>
    <cellStyle name="表体文字居中 39 5" xfId="2712"/>
    <cellStyle name="表体文字居中 39 6" xfId="2725"/>
    <cellStyle name="表体文字居中 39 7" xfId="1314"/>
    <cellStyle name="表体文字居中 39 8" xfId="1319"/>
    <cellStyle name="表体文字居中 39 9" xfId="2738"/>
    <cellStyle name="表体文字居中 4" xfId="5462"/>
    <cellStyle name="表体文字居中 4 10" xfId="31150"/>
    <cellStyle name="表体文字居中 4 2" xfId="29199"/>
    <cellStyle name="表体文字居中 4 2 2" xfId="31151"/>
    <cellStyle name="表体文字居中 4 2 3" xfId="31152"/>
    <cellStyle name="表体文字居中 4 2 4" xfId="9101"/>
    <cellStyle name="表体文字居中 4 2 5" xfId="9129"/>
    <cellStyle name="表体文字居中 4 2 6" xfId="9141"/>
    <cellStyle name="表体文字居中 4 2 7" xfId="9143"/>
    <cellStyle name="表体文字居中 4 2 8" xfId="9145"/>
    <cellStyle name="表体文字居中 4 3" xfId="31153"/>
    <cellStyle name="表体文字居中 4 3 2" xfId="31154"/>
    <cellStyle name="表体文字居中 4 3 3" xfId="31155"/>
    <cellStyle name="表体文字居中 4 3 4" xfId="31156"/>
    <cellStyle name="表体文字居中 4 3 5" xfId="11860"/>
    <cellStyle name="表体文字居中 4 3 6" xfId="11862"/>
    <cellStyle name="表体文字居中 4 3 7" xfId="31157"/>
    <cellStyle name="表体文字居中 4 3 8" xfId="31158"/>
    <cellStyle name="表体文字居中 4 4" xfId="31159"/>
    <cellStyle name="表体文字居中 4 5" xfId="31160"/>
    <cellStyle name="表体文字居中 4 6" xfId="31161"/>
    <cellStyle name="表体文字居中 4 7" xfId="31162"/>
    <cellStyle name="表体文字居中 4 8" xfId="31163"/>
    <cellStyle name="表体文字居中 4 9" xfId="31165"/>
    <cellStyle name="表体文字居中 40" xfId="28602"/>
    <cellStyle name="表体文字居中 40 10" xfId="12067"/>
    <cellStyle name="表体文字居中 40 2" xfId="28606"/>
    <cellStyle name="表体文字居中 40 2 2" xfId="34"/>
    <cellStyle name="表体文字居中 40 2 3" xfId="411"/>
    <cellStyle name="表体文字居中 40 2 4" xfId="6817"/>
    <cellStyle name="表体文字居中 40 2 5" xfId="31100"/>
    <cellStyle name="表体文字居中 40 2 6" xfId="13466"/>
    <cellStyle name="表体文字居中 40 2 7" xfId="13470"/>
    <cellStyle name="表体文字居中 40 2 8" xfId="13476"/>
    <cellStyle name="表体文字居中 40 3" xfId="28610"/>
    <cellStyle name="表体文字居中 40 3 2" xfId="624"/>
    <cellStyle name="表体文字居中 40 3 3" xfId="31102"/>
    <cellStyle name="表体文字居中 40 3 4" xfId="31104"/>
    <cellStyle name="表体文字居中 40 3 5" xfId="31106"/>
    <cellStyle name="表体文字居中 40 3 6" xfId="10971"/>
    <cellStyle name="表体文字居中 40 3 7" xfId="10976"/>
    <cellStyle name="表体文字居中 40 3 8" xfId="10981"/>
    <cellStyle name="表体文字居中 40 4" xfId="1436"/>
    <cellStyle name="表体文字居中 40 5" xfId="692"/>
    <cellStyle name="表体文字居中 40 6" xfId="399"/>
    <cellStyle name="表体文字居中 40 7" xfId="1757"/>
    <cellStyle name="表体文字居中 40 8" xfId="1789"/>
    <cellStyle name="表体文字居中 40 9" xfId="1848"/>
    <cellStyle name="表体文字居中 41" xfId="28616"/>
    <cellStyle name="表体文字居中 41 10" xfId="12092"/>
    <cellStyle name="表体文字居中 41 2" xfId="31108"/>
    <cellStyle name="表体文字居中 41 2 2" xfId="8278"/>
    <cellStyle name="表体文字居中 41 2 3" xfId="8282"/>
    <cellStyle name="表体文字居中 41 2 4" xfId="8285"/>
    <cellStyle name="表体文字居中 41 2 5" xfId="5738"/>
    <cellStyle name="表体文字居中 41 2 6" xfId="13493"/>
    <cellStyle name="表体文字居中 41 2 7" xfId="13498"/>
    <cellStyle name="表体文字居中 41 2 8" xfId="13503"/>
    <cellStyle name="表体文字居中 41 3" xfId="31110"/>
    <cellStyle name="表体文字居中 41 3 2" xfId="1517"/>
    <cellStyle name="表体文字居中 41 3 3" xfId="31112"/>
    <cellStyle name="表体文字居中 41 3 4" xfId="31114"/>
    <cellStyle name="表体文字居中 41 3 5" xfId="2848"/>
    <cellStyle name="表体文字居中 41 3 6" xfId="13523"/>
    <cellStyle name="表体文字居中 41 3 7" xfId="13528"/>
    <cellStyle name="表体文字居中 41 3 8" xfId="13533"/>
    <cellStyle name="表体文字居中 41 4" xfId="1528"/>
    <cellStyle name="表体文字居中 41 5" xfId="1540"/>
    <cellStyle name="表体文字居中 41 6" xfId="425"/>
    <cellStyle name="表体文字居中 41 7" xfId="441"/>
    <cellStyle name="表体文字居中 41 8" xfId="102"/>
    <cellStyle name="表体文字居中 41 9" xfId="2156"/>
    <cellStyle name="表体文字居中 42" xfId="20764"/>
    <cellStyle name="表体文字居中 42 10" xfId="31116"/>
    <cellStyle name="表体文字居中 42 2" xfId="31118"/>
    <cellStyle name="表体文字居中 42 2 2" xfId="19568"/>
    <cellStyle name="表体文字居中 42 2 3" xfId="19571"/>
    <cellStyle name="表体文字居中 42 2 4" xfId="19574"/>
    <cellStyle name="表体文字居中 42 2 5" xfId="19579"/>
    <cellStyle name="表体文字居中 42 2 6" xfId="13572"/>
    <cellStyle name="表体文字居中 42 2 7" xfId="13578"/>
    <cellStyle name="表体文字居中 42 2 8" xfId="13584"/>
    <cellStyle name="表体文字居中 42 3" xfId="31120"/>
    <cellStyle name="表体文字居中 42 3 2" xfId="1596"/>
    <cellStyle name="表体文字居中 42 3 3" xfId="19589"/>
    <cellStyle name="表体文字居中 42 3 4" xfId="19592"/>
    <cellStyle name="表体文字居中 42 3 5" xfId="19597"/>
    <cellStyle name="表体文字居中 42 3 6" xfId="13610"/>
    <cellStyle name="表体文字居中 42 3 7" xfId="13617"/>
    <cellStyle name="表体文字居中 42 3 8" xfId="13623"/>
    <cellStyle name="表体文字居中 42 4" xfId="907"/>
    <cellStyle name="表体文字居中 42 5" xfId="709"/>
    <cellStyle name="表体文字居中 42 6" xfId="465"/>
    <cellStyle name="表体文字居中 42 7" xfId="475"/>
    <cellStyle name="表体文字居中 42 8" xfId="1298"/>
    <cellStyle name="表体文字居中 42 9" xfId="2481"/>
    <cellStyle name="表体文字居中 43" xfId="28622"/>
    <cellStyle name="表体文字居中 43 10" xfId="14294"/>
    <cellStyle name="表体文字居中 43 2" xfId="31122"/>
    <cellStyle name="表体文字居中 43 2 2" xfId="9688"/>
    <cellStyle name="表体文字居中 43 2 3" xfId="9695"/>
    <cellStyle name="表体文字居中 43 2 4" xfId="9702"/>
    <cellStyle name="表体文字居中 43 2 5" xfId="9709"/>
    <cellStyle name="表体文字居中 43 2 6" xfId="9718"/>
    <cellStyle name="表体文字居中 43 2 7" xfId="13664"/>
    <cellStyle name="表体文字居中 43 2 8" xfId="13670"/>
    <cellStyle name="表体文字居中 43 3" xfId="31124"/>
    <cellStyle name="表体文字居中 43 3 2" xfId="22348"/>
    <cellStyle name="表体文字居中 43 3 3" xfId="15280"/>
    <cellStyle name="表体文字居中 43 3 4" xfId="15304"/>
    <cellStyle name="表体文字居中 43 3 5" xfId="15328"/>
    <cellStyle name="表体文字居中 43 3 6" xfId="13693"/>
    <cellStyle name="表体文字居中 43 3 7" xfId="13700"/>
    <cellStyle name="表体文字居中 43 3 8" xfId="6676"/>
    <cellStyle name="表体文字居中 43 4" xfId="1658"/>
    <cellStyle name="表体文字居中 43 5" xfId="1672"/>
    <cellStyle name="表体文字居中 43 6" xfId="507"/>
    <cellStyle name="表体文字居中 43 7" xfId="516"/>
    <cellStyle name="表体文字居中 43 8" xfId="14"/>
    <cellStyle name="表体文字居中 43 9" xfId="2679"/>
    <cellStyle name="表体文字居中 44" xfId="28628"/>
    <cellStyle name="表体文字居中 44 10" xfId="31126"/>
    <cellStyle name="表体文字居中 44 2" xfId="31128"/>
    <cellStyle name="表体文字居中 44 2 2" xfId="31130"/>
    <cellStyle name="表体文字居中 44 2 3" xfId="31132"/>
    <cellStyle name="表体文字居中 44 2 4" xfId="31134"/>
    <cellStyle name="表体文字居中 44 2 5" xfId="31136"/>
    <cellStyle name="表体文字居中 44 2 6" xfId="13749"/>
    <cellStyle name="表体文字居中 44 2 7" xfId="13753"/>
    <cellStyle name="表体文字居中 44 2 8" xfId="13757"/>
    <cellStyle name="表体文字居中 44 3" xfId="31138"/>
    <cellStyle name="表体文字居中 44 3 2" xfId="31140"/>
    <cellStyle name="表体文字居中 44 3 3" xfId="31142"/>
    <cellStyle name="表体文字居中 44 3 4" xfId="31144"/>
    <cellStyle name="表体文字居中 44 3 5" xfId="31146"/>
    <cellStyle name="表体文字居中 44 3 6" xfId="13780"/>
    <cellStyle name="表体文字居中 44 3 7" xfId="13784"/>
    <cellStyle name="表体文字居中 44 3 8" xfId="13788"/>
    <cellStyle name="表体文字居中 44 4" xfId="2706"/>
    <cellStyle name="表体文字居中 44 5" xfId="2711"/>
    <cellStyle name="表体文字居中 44 6" xfId="2724"/>
    <cellStyle name="表体文字居中 44 7" xfId="1313"/>
    <cellStyle name="表体文字居中 44 8" xfId="1318"/>
    <cellStyle name="表体文字居中 44 9" xfId="2737"/>
    <cellStyle name="表体文字居中 45" xfId="28633"/>
    <cellStyle name="表体文字居中 45 10" xfId="31166"/>
    <cellStyle name="表体文字居中 45 2" xfId="31168"/>
    <cellStyle name="表体文字居中 45 2 2" xfId="31170"/>
    <cellStyle name="表体文字居中 45 2 3" xfId="30927"/>
    <cellStyle name="表体文字居中 45 2 4" xfId="30930"/>
    <cellStyle name="表体文字居中 45 2 5" xfId="30935"/>
    <cellStyle name="表体文字居中 45 2 6" xfId="13827"/>
    <cellStyle name="表体文字居中 45 2 7" xfId="13832"/>
    <cellStyle name="表体文字居中 45 2 8" xfId="13837"/>
    <cellStyle name="表体文字居中 45 3" xfId="31172"/>
    <cellStyle name="表体文字居中 45 3 2" xfId="31174"/>
    <cellStyle name="表体文字居中 45 3 3" xfId="31001"/>
    <cellStyle name="表体文字居中 45 3 4" xfId="31005"/>
    <cellStyle name="表体文字居中 45 3 5" xfId="31009"/>
    <cellStyle name="表体文字居中 45 3 6" xfId="13852"/>
    <cellStyle name="表体文字居中 45 3 7" xfId="13857"/>
    <cellStyle name="表体文字居中 45 3 8" xfId="13862"/>
    <cellStyle name="表体文字居中 45 4" xfId="2747"/>
    <cellStyle name="表体文字居中 45 5" xfId="2754"/>
    <cellStyle name="表体文字居中 45 6" xfId="4041"/>
    <cellStyle name="表体文字居中 45 7" xfId="1329"/>
    <cellStyle name="表体文字居中 45 8" xfId="1336"/>
    <cellStyle name="表体文字居中 45 9" xfId="5617"/>
    <cellStyle name="表体文字居中 46" xfId="28639"/>
    <cellStyle name="表体文字居中 46 10" xfId="30733"/>
    <cellStyle name="表体文字居中 46 2" xfId="31176"/>
    <cellStyle name="表体文字居中 46 2 2" xfId="31178"/>
    <cellStyle name="表体文字居中 46 2 3" xfId="31180"/>
    <cellStyle name="表体文字居中 46 2 4" xfId="31182"/>
    <cellStyle name="表体文字居中 46 2 5" xfId="31184"/>
    <cellStyle name="表体文字居中 46 2 6" xfId="13895"/>
    <cellStyle name="表体文字居中 46 2 7" xfId="13899"/>
    <cellStyle name="表体文字居中 46 2 8" xfId="13903"/>
    <cellStyle name="表体文字居中 46 3" xfId="31186"/>
    <cellStyle name="表体文字居中 46 3 2" xfId="31188"/>
    <cellStyle name="表体文字居中 46 3 3" xfId="31190"/>
    <cellStyle name="表体文字居中 46 3 4" xfId="31192"/>
    <cellStyle name="表体文字居中 46 3 5" xfId="31194"/>
    <cellStyle name="表体文字居中 46 3 6" xfId="13919"/>
    <cellStyle name="表体文字居中 46 3 7" xfId="13923"/>
    <cellStyle name="表体文字居中 46 3 8" xfId="13927"/>
    <cellStyle name="表体文字居中 46 4" xfId="2761"/>
    <cellStyle name="表体文字居中 46 5" xfId="2768"/>
    <cellStyle name="表体文字居中 46 6" xfId="2783"/>
    <cellStyle name="表体文字居中 46 7" xfId="1340"/>
    <cellStyle name="表体文字居中 46 8" xfId="1347"/>
    <cellStyle name="表体文字居中 46 9" xfId="2793"/>
    <cellStyle name="表体文字居中 47" xfId="31196"/>
    <cellStyle name="表体文字居中 47 10" xfId="31198"/>
    <cellStyle name="表体文字居中 47 2" xfId="31200"/>
    <cellStyle name="表体文字居中 47 2 2" xfId="31202"/>
    <cellStyle name="表体文字居中 47 2 3" xfId="31204"/>
    <cellStyle name="表体文字居中 47 2 4" xfId="31206"/>
    <cellStyle name="表体文字居中 47 2 5" xfId="31208"/>
    <cellStyle name="表体文字居中 47 2 6" xfId="13959"/>
    <cellStyle name="表体文字居中 47 2 7" xfId="13963"/>
    <cellStyle name="表体文字居中 47 2 8" xfId="13967"/>
    <cellStyle name="表体文字居中 47 3" xfId="31210"/>
    <cellStyle name="表体文字居中 47 3 2" xfId="31212"/>
    <cellStyle name="表体文字居中 47 3 3" xfId="31214"/>
    <cellStyle name="表体文字居中 47 3 4" xfId="31216"/>
    <cellStyle name="表体文字居中 47 3 5" xfId="31218"/>
    <cellStyle name="表体文字居中 47 3 6" xfId="13981"/>
    <cellStyle name="表体文字居中 47 3 7" xfId="13985"/>
    <cellStyle name="表体文字居中 47 3 8" xfId="13989"/>
    <cellStyle name="表体文字居中 47 4" xfId="2808"/>
    <cellStyle name="表体文字居中 47 5" xfId="2812"/>
    <cellStyle name="表体文字居中 47 6" xfId="31220"/>
    <cellStyle name="表体文字居中 47 7" xfId="31222"/>
    <cellStyle name="表体文字居中 47 8" xfId="31224"/>
    <cellStyle name="表体文字居中 47 9" xfId="31226"/>
    <cellStyle name="表体文字居中 48" xfId="31228"/>
    <cellStyle name="表体文字居中 48 10" xfId="14363"/>
    <cellStyle name="表体文字居中 48 2" xfId="31231"/>
    <cellStyle name="表体文字居中 48 2 2" xfId="31233"/>
    <cellStyle name="表体文字居中 48 2 3" xfId="31235"/>
    <cellStyle name="表体文字居中 48 2 4" xfId="31237"/>
    <cellStyle name="表体文字居中 48 2 5" xfId="31239"/>
    <cellStyle name="表体文字居中 48 2 6" xfId="14026"/>
    <cellStyle name="表体文字居中 48 2 7" xfId="14030"/>
    <cellStyle name="表体文字居中 48 2 8" xfId="14034"/>
    <cellStyle name="表体文字居中 48 3" xfId="31241"/>
    <cellStyle name="表体文字居中 48 3 2" xfId="31243"/>
    <cellStyle name="表体文字居中 48 3 3" xfId="31245"/>
    <cellStyle name="表体文字居中 48 3 4" xfId="31247"/>
    <cellStyle name="表体文字居中 48 3 5" xfId="25950"/>
    <cellStyle name="表体文字居中 48 3 6" xfId="14058"/>
    <cellStyle name="表体文字居中 48 3 7" xfId="14063"/>
    <cellStyle name="表体文字居中 48 3 8" xfId="8914"/>
    <cellStyle name="表体文字居中 48 4" xfId="31249"/>
    <cellStyle name="表体文字居中 48 5" xfId="31251"/>
    <cellStyle name="表体文字居中 48 6" xfId="31253"/>
    <cellStyle name="表体文字居中 48 7" xfId="31255"/>
    <cellStyle name="表体文字居中 48 8" xfId="31257"/>
    <cellStyle name="表体文字居中 48 9" xfId="31259"/>
    <cellStyle name="表体文字居中 49" xfId="31261"/>
    <cellStyle name="表体文字居中 49 10" xfId="31264"/>
    <cellStyle name="表体文字居中 49 2" xfId="31266"/>
    <cellStyle name="表体文字居中 49 2 2" xfId="31268"/>
    <cellStyle name="表体文字居中 49 2 3" xfId="31270"/>
    <cellStyle name="表体文字居中 49 2 4" xfId="31272"/>
    <cellStyle name="表体文字居中 49 2 5" xfId="31274"/>
    <cellStyle name="表体文字居中 49 2 6" xfId="14155"/>
    <cellStyle name="表体文字居中 49 2 7" xfId="14159"/>
    <cellStyle name="表体文字居中 49 2 8" xfId="14163"/>
    <cellStyle name="表体文字居中 49 3" xfId="31276"/>
    <cellStyle name="表体文字居中 49 3 2" xfId="31278"/>
    <cellStyle name="表体文字居中 49 3 3" xfId="31280"/>
    <cellStyle name="表体文字居中 49 3 4" xfId="31282"/>
    <cellStyle name="表体文字居中 49 3 5" xfId="26929"/>
    <cellStyle name="表体文字居中 49 3 6" xfId="14184"/>
    <cellStyle name="表体文字居中 49 3 7" xfId="14189"/>
    <cellStyle name="表体文字居中 49 3 8" xfId="14194"/>
    <cellStyle name="表体文字居中 49 4" xfId="31284"/>
    <cellStyle name="表体文字居中 49 5" xfId="31286"/>
    <cellStyle name="表体文字居中 49 6" xfId="31288"/>
    <cellStyle name="表体文字居中 49 7" xfId="31290"/>
    <cellStyle name="表体文字居中 49 8" xfId="31292"/>
    <cellStyle name="表体文字居中 49 9" xfId="31294"/>
    <cellStyle name="表体文字居中 5" xfId="5465"/>
    <cellStyle name="表体文字居中 5 10" xfId="10053"/>
    <cellStyle name="表体文字居中 5 2" xfId="2416"/>
    <cellStyle name="表体文字居中 5 2 2" xfId="31296"/>
    <cellStyle name="表体文字居中 5 2 3" xfId="31297"/>
    <cellStyle name="表体文字居中 5 2 4" xfId="31298"/>
    <cellStyle name="表体文字居中 5 2 5" xfId="31299"/>
    <cellStyle name="表体文字居中 5 2 6" xfId="31300"/>
    <cellStyle name="表体文字居中 5 2 7" xfId="31301"/>
    <cellStyle name="表体文字居中 5 2 8" xfId="31302"/>
    <cellStyle name="表体文字居中 5 3" xfId="31303"/>
    <cellStyle name="表体文字居中 5 3 2" xfId="31304"/>
    <cellStyle name="表体文字居中 5 3 3" xfId="8097"/>
    <cellStyle name="表体文字居中 5 3 4" xfId="8099"/>
    <cellStyle name="表体文字居中 5 3 5" xfId="31305"/>
    <cellStyle name="表体文字居中 5 3 6" xfId="31306"/>
    <cellStyle name="表体文字居中 5 3 7" xfId="31307"/>
    <cellStyle name="表体文字居中 5 3 8" xfId="31308"/>
    <cellStyle name="表体文字居中 5 4" xfId="31309"/>
    <cellStyle name="表体文字居中 5 5" xfId="31310"/>
    <cellStyle name="表体文字居中 5 6" xfId="31311"/>
    <cellStyle name="表体文字居中 5 7" xfId="31312"/>
    <cellStyle name="表体文字居中 5 8" xfId="31313"/>
    <cellStyle name="表体文字居中 5 9" xfId="31314"/>
    <cellStyle name="表体文字居中 50" xfId="28634"/>
    <cellStyle name="表体文字居中 50 10" xfId="31167"/>
    <cellStyle name="表体文字居中 50 2" xfId="31169"/>
    <cellStyle name="表体文字居中 50 2 2" xfId="31171"/>
    <cellStyle name="表体文字居中 50 2 3" xfId="30928"/>
    <cellStyle name="表体文字居中 50 2 4" xfId="30931"/>
    <cellStyle name="表体文字居中 50 2 5" xfId="30936"/>
    <cellStyle name="表体文字居中 50 2 6" xfId="13828"/>
    <cellStyle name="表体文字居中 50 2 7" xfId="13833"/>
    <cellStyle name="表体文字居中 50 2 8" xfId="13838"/>
    <cellStyle name="表体文字居中 50 3" xfId="31173"/>
    <cellStyle name="表体文字居中 50 3 2" xfId="31175"/>
    <cellStyle name="表体文字居中 50 3 3" xfId="31002"/>
    <cellStyle name="表体文字居中 50 3 4" xfId="31006"/>
    <cellStyle name="表体文字居中 50 3 5" xfId="31010"/>
    <cellStyle name="表体文字居中 50 3 6" xfId="13853"/>
    <cellStyle name="表体文字居中 50 3 7" xfId="13858"/>
    <cellStyle name="表体文字居中 50 3 8" xfId="13863"/>
    <cellStyle name="表体文字居中 50 4" xfId="2746"/>
    <cellStyle name="表体文字居中 50 5" xfId="2753"/>
    <cellStyle name="表体文字居中 50 6" xfId="4040"/>
    <cellStyle name="表体文字居中 50 7" xfId="1328"/>
    <cellStyle name="表体文字居中 50 8" xfId="1335"/>
    <cellStyle name="表体文字居中 50 9" xfId="5618"/>
    <cellStyle name="表体文字居中 51" xfId="28640"/>
    <cellStyle name="表体文字居中 51 10" xfId="30734"/>
    <cellStyle name="表体文字居中 51 2" xfId="31177"/>
    <cellStyle name="表体文字居中 51 2 2" xfId="31179"/>
    <cellStyle name="表体文字居中 51 2 3" xfId="31181"/>
    <cellStyle name="表体文字居中 51 2 4" xfId="31183"/>
    <cellStyle name="表体文字居中 51 2 5" xfId="31185"/>
    <cellStyle name="表体文字居中 51 2 6" xfId="13896"/>
    <cellStyle name="表体文字居中 51 2 7" xfId="13900"/>
    <cellStyle name="表体文字居中 51 2 8" xfId="13904"/>
    <cellStyle name="表体文字居中 51 3" xfId="31187"/>
    <cellStyle name="表体文字居中 51 3 2" xfId="31189"/>
    <cellStyle name="表体文字居中 51 3 3" xfId="31191"/>
    <cellStyle name="表体文字居中 51 3 4" xfId="31193"/>
    <cellStyle name="表体文字居中 51 3 5" xfId="31195"/>
    <cellStyle name="表体文字居中 51 3 6" xfId="13920"/>
    <cellStyle name="表体文字居中 51 3 7" xfId="13924"/>
    <cellStyle name="表体文字居中 51 3 8" xfId="13928"/>
    <cellStyle name="表体文字居中 51 4" xfId="2760"/>
    <cellStyle name="表体文字居中 51 5" xfId="2767"/>
    <cellStyle name="表体文字居中 51 6" xfId="2782"/>
    <cellStyle name="表体文字居中 51 7" xfId="1339"/>
    <cellStyle name="表体文字居中 51 8" xfId="1346"/>
    <cellStyle name="表体文字居中 51 9" xfId="2792"/>
    <cellStyle name="表体文字居中 52" xfId="31197"/>
    <cellStyle name="表体文字居中 52 10" xfId="31199"/>
    <cellStyle name="表体文字居中 52 2" xfId="31201"/>
    <cellStyle name="表体文字居中 52 2 2" xfId="31203"/>
    <cellStyle name="表体文字居中 52 2 3" xfId="31205"/>
    <cellStyle name="表体文字居中 52 2 4" xfId="31207"/>
    <cellStyle name="表体文字居中 52 2 5" xfId="31209"/>
    <cellStyle name="表体文字居中 52 2 6" xfId="13960"/>
    <cellStyle name="表体文字居中 52 2 7" xfId="13964"/>
    <cellStyle name="表体文字居中 52 2 8" xfId="13968"/>
    <cellStyle name="表体文字居中 52 3" xfId="31211"/>
    <cellStyle name="表体文字居中 52 3 2" xfId="31213"/>
    <cellStyle name="表体文字居中 52 3 3" xfId="31215"/>
    <cellStyle name="表体文字居中 52 3 4" xfId="31217"/>
    <cellStyle name="表体文字居中 52 3 5" xfId="31219"/>
    <cellStyle name="表体文字居中 52 3 6" xfId="13982"/>
    <cellStyle name="表体文字居中 52 3 7" xfId="13986"/>
    <cellStyle name="表体文字居中 52 3 8" xfId="13990"/>
    <cellStyle name="表体文字居中 52 4" xfId="2807"/>
    <cellStyle name="表体文字居中 52 5" xfId="2811"/>
    <cellStyle name="表体文字居中 52 6" xfId="31221"/>
    <cellStyle name="表体文字居中 52 7" xfId="31223"/>
    <cellStyle name="表体文字居中 52 8" xfId="31225"/>
    <cellStyle name="表体文字居中 52 9" xfId="31227"/>
    <cellStyle name="表体文字居中 53" xfId="31229"/>
    <cellStyle name="表体文字居中 53 10" xfId="14364"/>
    <cellStyle name="表体文字居中 53 2" xfId="31232"/>
    <cellStyle name="表体文字居中 53 2 2" xfId="31234"/>
    <cellStyle name="表体文字居中 53 2 3" xfId="31236"/>
    <cellStyle name="表体文字居中 53 2 4" xfId="31238"/>
    <cellStyle name="表体文字居中 53 2 5" xfId="31240"/>
    <cellStyle name="表体文字居中 53 2 6" xfId="14027"/>
    <cellStyle name="表体文字居中 53 2 7" xfId="14031"/>
    <cellStyle name="表体文字居中 53 2 8" xfId="14035"/>
    <cellStyle name="表体文字居中 53 3" xfId="31242"/>
    <cellStyle name="表体文字居中 53 3 2" xfId="31244"/>
    <cellStyle name="表体文字居中 53 3 3" xfId="31246"/>
    <cellStyle name="表体文字居中 53 3 4" xfId="31248"/>
    <cellStyle name="表体文字居中 53 3 5" xfId="25951"/>
    <cellStyle name="表体文字居中 53 3 6" xfId="14059"/>
    <cellStyle name="表体文字居中 53 3 7" xfId="14064"/>
    <cellStyle name="表体文字居中 53 3 8" xfId="8915"/>
    <cellStyle name="表体文字居中 53 4" xfId="31250"/>
    <cellStyle name="表体文字居中 53 5" xfId="31252"/>
    <cellStyle name="表体文字居中 53 6" xfId="31254"/>
    <cellStyle name="表体文字居中 53 7" xfId="31256"/>
    <cellStyle name="表体文字居中 53 8" xfId="31258"/>
    <cellStyle name="表体文字居中 53 9" xfId="31260"/>
    <cellStyle name="表体文字居中 54" xfId="31262"/>
    <cellStyle name="表体文字居中 54 10" xfId="31265"/>
    <cellStyle name="表体文字居中 54 2" xfId="31267"/>
    <cellStyle name="表体文字居中 54 2 2" xfId="31269"/>
    <cellStyle name="表体文字居中 54 2 3" xfId="31271"/>
    <cellStyle name="表体文字居中 54 2 4" xfId="31273"/>
    <cellStyle name="表体文字居中 54 2 5" xfId="31275"/>
    <cellStyle name="表体文字居中 54 2 6" xfId="14156"/>
    <cellStyle name="表体文字居中 54 2 7" xfId="14160"/>
    <cellStyle name="表体文字居中 54 2 8" xfId="14164"/>
    <cellStyle name="表体文字居中 54 3" xfId="31277"/>
    <cellStyle name="表体文字居中 54 3 2" xfId="31279"/>
    <cellStyle name="表体文字居中 54 3 3" xfId="31281"/>
    <cellStyle name="表体文字居中 54 3 4" xfId="31283"/>
    <cellStyle name="表体文字居中 54 3 5" xfId="26930"/>
    <cellStyle name="表体文字居中 54 3 6" xfId="14185"/>
    <cellStyle name="表体文字居中 54 3 7" xfId="14190"/>
    <cellStyle name="表体文字居中 54 3 8" xfId="14195"/>
    <cellStyle name="表体文字居中 54 4" xfId="31285"/>
    <cellStyle name="表体文字居中 54 5" xfId="31287"/>
    <cellStyle name="表体文字居中 54 6" xfId="31289"/>
    <cellStyle name="表体文字居中 54 7" xfId="31291"/>
    <cellStyle name="表体文字居中 54 8" xfId="31293"/>
    <cellStyle name="表体文字居中 54 9" xfId="31295"/>
    <cellStyle name="表体文字居中 55" xfId="31315"/>
    <cellStyle name="表体文字居中 55 10" xfId="31318"/>
    <cellStyle name="表体文字居中 55 2" xfId="31320"/>
    <cellStyle name="表体文字居中 55 2 2" xfId="31322"/>
    <cellStyle name="表体文字居中 55 2 3" xfId="31324"/>
    <cellStyle name="表体文字居中 55 2 4" xfId="31326"/>
    <cellStyle name="表体文字居中 55 2 5" xfId="31328"/>
    <cellStyle name="表体文字居中 55 2 6" xfId="14239"/>
    <cellStyle name="表体文字居中 55 2 7" xfId="14243"/>
    <cellStyle name="表体文字居中 55 2 8" xfId="14247"/>
    <cellStyle name="表体文字居中 55 3" xfId="31330"/>
    <cellStyle name="表体文字居中 55 3 2" xfId="22617"/>
    <cellStyle name="表体文字居中 55 3 3" xfId="31332"/>
    <cellStyle name="表体文字居中 55 3 4" xfId="31334"/>
    <cellStyle name="表体文字居中 55 3 5" xfId="27123"/>
    <cellStyle name="表体文字居中 55 3 6" xfId="14265"/>
    <cellStyle name="表体文字居中 55 3 7" xfId="14271"/>
    <cellStyle name="表体文字居中 55 3 8" xfId="14277"/>
    <cellStyle name="表体文字居中 55 4" xfId="31336"/>
    <cellStyle name="表体文字居中 55 5" xfId="31338"/>
    <cellStyle name="表体文字居中 55 6" xfId="31340"/>
    <cellStyle name="表体文字居中 55 7" xfId="31342"/>
    <cellStyle name="表体文字居中 55 8" xfId="31344"/>
    <cellStyle name="表体文字居中 55 9" xfId="31346"/>
    <cellStyle name="表体文字居中 56" xfId="31348"/>
    <cellStyle name="表体文字居中 56 10" xfId="12716"/>
    <cellStyle name="表体文字居中 56 2" xfId="31351"/>
    <cellStyle name="表体文字居中 56 2 2" xfId="31353"/>
    <cellStyle name="表体文字居中 56 2 3" xfId="31355"/>
    <cellStyle name="表体文字居中 56 2 4" xfId="31357"/>
    <cellStyle name="表体文字居中 56 2 5" xfId="31359"/>
    <cellStyle name="表体文字居中 56 2 6" xfId="14317"/>
    <cellStyle name="表体文字居中 56 2 7" xfId="14321"/>
    <cellStyle name="表体文字居中 56 2 8" xfId="14325"/>
    <cellStyle name="表体文字居中 56 3" xfId="31361"/>
    <cellStyle name="表体文字居中 56 3 2" xfId="22786"/>
    <cellStyle name="表体文字居中 56 3 3" xfId="31363"/>
    <cellStyle name="表体文字居中 56 3 4" xfId="31365"/>
    <cellStyle name="表体文字居中 56 3 5" xfId="27240"/>
    <cellStyle name="表体文字居中 56 3 6" xfId="14342"/>
    <cellStyle name="表体文字居中 56 3 7" xfId="14347"/>
    <cellStyle name="表体文字居中 56 3 8" xfId="14352"/>
    <cellStyle name="表体文字居中 56 4" xfId="31367"/>
    <cellStyle name="表体文字居中 56 5" xfId="31369"/>
    <cellStyle name="表体文字居中 56 6" xfId="31371"/>
    <cellStyle name="表体文字居中 56 7" xfId="31373"/>
    <cellStyle name="表体文字居中 56 8" xfId="31375"/>
    <cellStyle name="表体文字居中 56 9" xfId="31377"/>
    <cellStyle name="表体文字居中 57" xfId="31379"/>
    <cellStyle name="表体文字居中 57 10" xfId="8709"/>
    <cellStyle name="表体文字居中 57 2" xfId="31382"/>
    <cellStyle name="表体文字居中 57 2 2" xfId="31384"/>
    <cellStyle name="表体文字居中 57 2 3" xfId="11850"/>
    <cellStyle name="表体文字居中 57 2 4" xfId="31386"/>
    <cellStyle name="表体文字居中 57 2 5" xfId="31388"/>
    <cellStyle name="表体文字居中 57 2 6" xfId="14387"/>
    <cellStyle name="表体文字居中 57 2 7" xfId="14391"/>
    <cellStyle name="表体文字居中 57 2 8" xfId="14395"/>
    <cellStyle name="表体文字居中 57 3" xfId="31390"/>
    <cellStyle name="表体文字居中 57 3 2" xfId="24330"/>
    <cellStyle name="表体文字居中 57 3 3" xfId="31392"/>
    <cellStyle name="表体文字居中 57 3 4" xfId="31394"/>
    <cellStyle name="表体文字居中 57 3 5" xfId="27308"/>
    <cellStyle name="表体文字居中 57 3 6" xfId="14406"/>
    <cellStyle name="表体文字居中 57 3 7" xfId="14411"/>
    <cellStyle name="表体文字居中 57 3 8" xfId="14416"/>
    <cellStyle name="表体文字居中 57 4" xfId="31396"/>
    <cellStyle name="表体文字居中 57 5" xfId="31398"/>
    <cellStyle name="表体文字居中 57 6" xfId="31400"/>
    <cellStyle name="表体文字居中 57 7" xfId="31402"/>
    <cellStyle name="表体文字居中 57 8" xfId="31404"/>
    <cellStyle name="表体文字居中 57 9" xfId="31406"/>
    <cellStyle name="表体文字居中 58" xfId="31408"/>
    <cellStyle name="表体文字居中 58 10" xfId="14427"/>
    <cellStyle name="表体文字居中 58 2" xfId="31411"/>
    <cellStyle name="表体文字居中 58 2 2" xfId="31413"/>
    <cellStyle name="表体文字居中 58 2 3" xfId="31417"/>
    <cellStyle name="表体文字居中 58 2 4" xfId="31421"/>
    <cellStyle name="表体文字居中 58 2 5" xfId="31424"/>
    <cellStyle name="表体文字居中 58 2 6" xfId="3701"/>
    <cellStyle name="表体文字居中 58 2 7" xfId="3707"/>
    <cellStyle name="表体文字居中 58 2 8" xfId="14445"/>
    <cellStyle name="表体文字居中 58 3" xfId="31427"/>
    <cellStyle name="表体文字居中 58 3 2" xfId="24563"/>
    <cellStyle name="表体文字居中 58 3 3" xfId="31429"/>
    <cellStyle name="表体文字居中 58 3 4" xfId="31433"/>
    <cellStyle name="表体文字居中 58 3 5" xfId="27347"/>
    <cellStyle name="表体文字居中 58 3 6" xfId="3725"/>
    <cellStyle name="表体文字居中 58 3 7" xfId="169"/>
    <cellStyle name="表体文字居中 58 3 8" xfId="14460"/>
    <cellStyle name="表体文字居中 58 4" xfId="31436"/>
    <cellStyle name="表体文字居中 58 5" xfId="31438"/>
    <cellStyle name="表体文字居中 58 6" xfId="31440"/>
    <cellStyle name="表体文字居中 58 7" xfId="31442"/>
    <cellStyle name="表体文字居中 58 8" xfId="31444"/>
    <cellStyle name="表体文字居中 58 9" xfId="31446"/>
    <cellStyle name="表体文字居中 59" xfId="31448"/>
    <cellStyle name="表体文字居中 59 10" xfId="31451"/>
    <cellStyle name="表体文字居中 59 2" xfId="31453"/>
    <cellStyle name="表体文字居中 59 2 2" xfId="31455"/>
    <cellStyle name="表体文字居中 59 2 3" xfId="31457"/>
    <cellStyle name="表体文字居中 59 2 4" xfId="31459"/>
    <cellStyle name="表体文字居中 59 2 5" xfId="31461"/>
    <cellStyle name="表体文字居中 59 2 6" xfId="3836"/>
    <cellStyle name="表体文字居中 59 2 7" xfId="3842"/>
    <cellStyle name="表体文字居中 59 2 8" xfId="14510"/>
    <cellStyle name="表体文字居中 59 3" xfId="6854"/>
    <cellStyle name="表体文字居中 59 3 2" xfId="24846"/>
    <cellStyle name="表体文字居中 59 3 3" xfId="31463"/>
    <cellStyle name="表体文字居中 59 3 4" xfId="31465"/>
    <cellStyle name="表体文字居中 59 3 5" xfId="27360"/>
    <cellStyle name="表体文字居中 59 3 6" xfId="3859"/>
    <cellStyle name="表体文字居中 59 3 7" xfId="3872"/>
    <cellStyle name="表体文字居中 59 3 8" xfId="14521"/>
    <cellStyle name="表体文字居中 59 4" xfId="31467"/>
    <cellStyle name="表体文字居中 59 5" xfId="31469"/>
    <cellStyle name="表体文字居中 59 6" xfId="31471"/>
    <cellStyle name="表体文字居中 59 7" xfId="31473"/>
    <cellStyle name="表体文字居中 59 8" xfId="31475"/>
    <cellStyle name="表体文字居中 59 9" xfId="31477"/>
    <cellStyle name="表体文字居中 6" xfId="5467"/>
    <cellStyle name="表体文字居中 6 10" xfId="18586"/>
    <cellStyle name="表体文字居中 6 2" xfId="2466"/>
    <cellStyle name="表体文字居中 6 2 2" xfId="31479"/>
    <cellStyle name="表体文字居中 6 2 3" xfId="31480"/>
    <cellStyle name="表体文字居中 6 2 4" xfId="31481"/>
    <cellStyle name="表体文字居中 6 2 5" xfId="31482"/>
    <cellStyle name="表体文字居中 6 2 6" xfId="31483"/>
    <cellStyle name="表体文字居中 6 2 7" xfId="31484"/>
    <cellStyle name="表体文字居中 6 2 8" xfId="31485"/>
    <cellStyle name="表体文字居中 6 3" xfId="31486"/>
    <cellStyle name="表体文字居中 6 3 2" xfId="31487"/>
    <cellStyle name="表体文字居中 6 3 3" xfId="31488"/>
    <cellStyle name="表体文字居中 6 3 4" xfId="31489"/>
    <cellStyle name="表体文字居中 6 3 5" xfId="31490"/>
    <cellStyle name="表体文字居中 6 3 6" xfId="31491"/>
    <cellStyle name="表体文字居中 6 3 7" xfId="31492"/>
    <cellStyle name="表体文字居中 6 3 8" xfId="31493"/>
    <cellStyle name="表体文字居中 6 4" xfId="31494"/>
    <cellStyle name="表体文字居中 6 5" xfId="31495"/>
    <cellStyle name="表体文字居中 6 6" xfId="31496"/>
    <cellStyle name="表体文字居中 6 7" xfId="31497"/>
    <cellStyle name="表体文字居中 6 8" xfId="31498"/>
    <cellStyle name="表体文字居中 6 9" xfId="31499"/>
    <cellStyle name="表体文字居中 60" xfId="31316"/>
    <cellStyle name="表体文字居中 60 10" xfId="31319"/>
    <cellStyle name="表体文字居中 60 2" xfId="31321"/>
    <cellStyle name="表体文字居中 60 2 2" xfId="31323"/>
    <cellStyle name="表体文字居中 60 2 3" xfId="31325"/>
    <cellStyle name="表体文字居中 60 2 4" xfId="31327"/>
    <cellStyle name="表体文字居中 60 2 5" xfId="31329"/>
    <cellStyle name="表体文字居中 60 2 6" xfId="14240"/>
    <cellStyle name="表体文字居中 60 2 7" xfId="14244"/>
    <cellStyle name="表体文字居中 60 2 8" xfId="14248"/>
    <cellStyle name="表体文字居中 60 3" xfId="31331"/>
    <cellStyle name="表体文字居中 60 3 2" xfId="22618"/>
    <cellStyle name="表体文字居中 60 3 3" xfId="31333"/>
    <cellStyle name="表体文字居中 60 3 4" xfId="31335"/>
    <cellStyle name="表体文字居中 60 3 5" xfId="27124"/>
    <cellStyle name="表体文字居中 60 3 6" xfId="14266"/>
    <cellStyle name="表体文字居中 60 3 7" xfId="14272"/>
    <cellStyle name="表体文字居中 60 3 8" xfId="14278"/>
    <cellStyle name="表体文字居中 60 4" xfId="31337"/>
    <cellStyle name="表体文字居中 60 5" xfId="31339"/>
    <cellStyle name="表体文字居中 60 6" xfId="31341"/>
    <cellStyle name="表体文字居中 60 7" xfId="31343"/>
    <cellStyle name="表体文字居中 60 8" xfId="31345"/>
    <cellStyle name="表体文字居中 60 9" xfId="31347"/>
    <cellStyle name="表体文字居中 61" xfId="31349"/>
    <cellStyle name="表体文字居中 61 10" xfId="12717"/>
    <cellStyle name="表体文字居中 61 2" xfId="31352"/>
    <cellStyle name="表体文字居中 61 2 2" xfId="31354"/>
    <cellStyle name="表体文字居中 61 2 3" xfId="31356"/>
    <cellStyle name="表体文字居中 61 2 4" xfId="31358"/>
    <cellStyle name="表体文字居中 61 2 5" xfId="31360"/>
    <cellStyle name="表体文字居中 61 2 6" xfId="14318"/>
    <cellStyle name="表体文字居中 61 2 7" xfId="14322"/>
    <cellStyle name="表体文字居中 61 2 8" xfId="14326"/>
    <cellStyle name="表体文字居中 61 3" xfId="31362"/>
    <cellStyle name="表体文字居中 61 3 2" xfId="22787"/>
    <cellStyle name="表体文字居中 61 3 3" xfId="31364"/>
    <cellStyle name="表体文字居中 61 3 4" xfId="31366"/>
    <cellStyle name="表体文字居中 61 3 5" xfId="27241"/>
    <cellStyle name="表体文字居中 61 3 6" xfId="14343"/>
    <cellStyle name="表体文字居中 61 3 7" xfId="14348"/>
    <cellStyle name="表体文字居中 61 3 8" xfId="14353"/>
    <cellStyle name="表体文字居中 61 4" xfId="31368"/>
    <cellStyle name="表体文字居中 61 5" xfId="31370"/>
    <cellStyle name="表体文字居中 61 6" xfId="31372"/>
    <cellStyle name="表体文字居中 61 7" xfId="31374"/>
    <cellStyle name="表体文字居中 61 8" xfId="31376"/>
    <cellStyle name="表体文字居中 61 9" xfId="31378"/>
    <cellStyle name="表体文字居中 62" xfId="31380"/>
    <cellStyle name="表体文字居中 62 10" xfId="8710"/>
    <cellStyle name="表体文字居中 62 2" xfId="31383"/>
    <cellStyle name="表体文字居中 62 2 2" xfId="31385"/>
    <cellStyle name="表体文字居中 62 2 3" xfId="11851"/>
    <cellStyle name="表体文字居中 62 2 4" xfId="31387"/>
    <cellStyle name="表体文字居中 62 2 5" xfId="31389"/>
    <cellStyle name="表体文字居中 62 2 6" xfId="14388"/>
    <cellStyle name="表体文字居中 62 2 7" xfId="14392"/>
    <cellStyle name="表体文字居中 62 2 8" xfId="14396"/>
    <cellStyle name="表体文字居中 62 3" xfId="31391"/>
    <cellStyle name="表体文字居中 62 3 2" xfId="24331"/>
    <cellStyle name="表体文字居中 62 3 3" xfId="31393"/>
    <cellStyle name="表体文字居中 62 3 4" xfId="31395"/>
    <cellStyle name="表体文字居中 62 3 5" xfId="27309"/>
    <cellStyle name="表体文字居中 62 3 6" xfId="14407"/>
    <cellStyle name="表体文字居中 62 3 7" xfId="14412"/>
    <cellStyle name="表体文字居中 62 3 8" xfId="14417"/>
    <cellStyle name="表体文字居中 62 4" xfId="31397"/>
    <cellStyle name="表体文字居中 62 5" xfId="31399"/>
    <cellStyle name="表体文字居中 62 6" xfId="31401"/>
    <cellStyle name="表体文字居中 62 7" xfId="31403"/>
    <cellStyle name="表体文字居中 62 8" xfId="31405"/>
    <cellStyle name="表体文字居中 62 9" xfId="31407"/>
    <cellStyle name="表体文字居中 63" xfId="31409"/>
    <cellStyle name="表体文字居中 63 10" xfId="14428"/>
    <cellStyle name="表体文字居中 63 2" xfId="31412"/>
    <cellStyle name="表体文字居中 63 2 2" xfId="31414"/>
    <cellStyle name="表体文字居中 63 2 3" xfId="31418"/>
    <cellStyle name="表体文字居中 63 2 4" xfId="31422"/>
    <cellStyle name="表体文字居中 63 2 5" xfId="31425"/>
    <cellStyle name="表体文字居中 63 2 6" xfId="3700"/>
    <cellStyle name="表体文字居中 63 2 7" xfId="3706"/>
    <cellStyle name="表体文字居中 63 2 8" xfId="14446"/>
    <cellStyle name="表体文字居中 63 3" xfId="31428"/>
    <cellStyle name="表体文字居中 63 3 2" xfId="24564"/>
    <cellStyle name="表体文字居中 63 3 3" xfId="31430"/>
    <cellStyle name="表体文字居中 63 3 4" xfId="31434"/>
    <cellStyle name="表体文字居中 63 3 5" xfId="27348"/>
    <cellStyle name="表体文字居中 63 3 6" xfId="3724"/>
    <cellStyle name="表体文字居中 63 3 7" xfId="170"/>
    <cellStyle name="表体文字居中 63 3 8" xfId="14461"/>
    <cellStyle name="表体文字居中 63 4" xfId="31437"/>
    <cellStyle name="表体文字居中 63 5" xfId="31439"/>
    <cellStyle name="表体文字居中 63 6" xfId="31441"/>
    <cellStyle name="表体文字居中 63 7" xfId="31443"/>
    <cellStyle name="表体文字居中 63 8" xfId="31445"/>
    <cellStyle name="表体文字居中 63 9" xfId="31447"/>
    <cellStyle name="表体文字居中 64" xfId="31449"/>
    <cellStyle name="表体文字居中 64 10" xfId="31452"/>
    <cellStyle name="表体文字居中 64 2" xfId="31454"/>
    <cellStyle name="表体文字居中 64 2 2" xfId="31456"/>
    <cellStyle name="表体文字居中 64 2 3" xfId="31458"/>
    <cellStyle name="表体文字居中 64 2 4" xfId="31460"/>
    <cellStyle name="表体文字居中 64 2 5" xfId="31462"/>
    <cellStyle name="表体文字居中 64 2 6" xfId="3835"/>
    <cellStyle name="表体文字居中 64 2 7" xfId="3841"/>
    <cellStyle name="表体文字居中 64 2 8" xfId="14511"/>
    <cellStyle name="表体文字居中 64 3" xfId="6855"/>
    <cellStyle name="表体文字居中 64 3 2" xfId="24847"/>
    <cellStyle name="表体文字居中 64 3 3" xfId="31464"/>
    <cellStyle name="表体文字居中 64 3 4" xfId="31466"/>
    <cellStyle name="表体文字居中 64 3 5" xfId="27361"/>
    <cellStyle name="表体文字居中 64 3 6" xfId="3858"/>
    <cellStyle name="表体文字居中 64 3 7" xfId="3871"/>
    <cellStyle name="表体文字居中 64 3 8" xfId="14522"/>
    <cellStyle name="表体文字居中 64 4" xfId="31468"/>
    <cellStyle name="表体文字居中 64 5" xfId="31470"/>
    <cellStyle name="表体文字居中 64 6" xfId="31472"/>
    <cellStyle name="表体文字居中 64 7" xfId="31474"/>
    <cellStyle name="表体文字居中 64 8" xfId="31476"/>
    <cellStyle name="表体文字居中 64 9" xfId="31478"/>
    <cellStyle name="表体文字居中 65" xfId="31500"/>
    <cellStyle name="表体文字居中 65 10" xfId="31502"/>
    <cellStyle name="表体文字居中 65 2" xfId="31503"/>
    <cellStyle name="表体文字居中 65 2 2" xfId="9335"/>
    <cellStyle name="表体文字居中 65 2 3" xfId="9338"/>
    <cellStyle name="表体文字居中 65 2 4" xfId="9341"/>
    <cellStyle name="表体文字居中 65 2 5" xfId="9346"/>
    <cellStyle name="表体文字居中 65 2 6" xfId="9354"/>
    <cellStyle name="表体文字居中 65 2 7" xfId="9365"/>
    <cellStyle name="表体文字居中 65 2 8" xfId="9376"/>
    <cellStyle name="表体文字居中 65 3" xfId="31504"/>
    <cellStyle name="表体文字居中 65 3 2" xfId="25053"/>
    <cellStyle name="表体文字居中 65 3 3" xfId="31505"/>
    <cellStyle name="表体文字居中 65 3 4" xfId="31506"/>
    <cellStyle name="表体文字居中 65 3 5" xfId="27376"/>
    <cellStyle name="表体文字居中 65 3 6" xfId="14549"/>
    <cellStyle name="表体文字居中 65 3 7" xfId="14553"/>
    <cellStyle name="表体文字居中 65 3 8" xfId="14557"/>
    <cellStyle name="表体文字居中 65 4" xfId="31507"/>
    <cellStyle name="表体文字居中 65 5" xfId="31508"/>
    <cellStyle name="表体文字居中 65 6" xfId="31509"/>
    <cellStyle name="表体文字居中 65 7" xfId="31510"/>
    <cellStyle name="表体文字居中 65 8" xfId="31511"/>
    <cellStyle name="表体文字居中 65 9" xfId="31512"/>
    <cellStyle name="表体文字居中 66" xfId="31513"/>
    <cellStyle name="表体文字居中 66 10" xfId="30780"/>
    <cellStyle name="表体文字居中 66 2" xfId="31515"/>
    <cellStyle name="表体文字居中 66 2 2" xfId="8713"/>
    <cellStyle name="表体文字居中 66 2 3" xfId="8715"/>
    <cellStyle name="表体文字居中 66 2 4" xfId="8717"/>
    <cellStyle name="表体文字居中 66 2 5" xfId="8719"/>
    <cellStyle name="表体文字居中 66 2 6" xfId="8732"/>
    <cellStyle name="表体文字居中 66 2 7" xfId="8737"/>
    <cellStyle name="表体文字居中 66 2 8" xfId="8744"/>
    <cellStyle name="表体文字居中 66 3" xfId="29978"/>
    <cellStyle name="表体文字居中 66 3 2" xfId="31516"/>
    <cellStyle name="表体文字居中 66 3 3" xfId="31517"/>
    <cellStyle name="表体文字居中 66 3 4" xfId="31518"/>
    <cellStyle name="表体文字居中 66 3 5" xfId="31519"/>
    <cellStyle name="表体文字居中 66 3 6" xfId="14597"/>
    <cellStyle name="表体文字居中 66 3 7" xfId="14600"/>
    <cellStyle name="表体文字居中 66 3 8" xfId="14603"/>
    <cellStyle name="表体文字居中 66 4" xfId="29981"/>
    <cellStyle name="表体文字居中 66 5" xfId="29984"/>
    <cellStyle name="表体文字居中 66 6" xfId="29987"/>
    <cellStyle name="表体文字居中 66 7" xfId="29990"/>
    <cellStyle name="表体文字居中 66 8" xfId="29993"/>
    <cellStyle name="表体文字居中 66 9" xfId="29996"/>
    <cellStyle name="表体文字居中 67" xfId="31520"/>
    <cellStyle name="表体文字居中 67 2" xfId="31522"/>
    <cellStyle name="表体文字居中 67 3" xfId="29999"/>
    <cellStyle name="表体文字居中 67 4" xfId="30002"/>
    <cellStyle name="表体文字居中 67 5" xfId="30005"/>
    <cellStyle name="表体文字居中 67 6" xfId="30008"/>
    <cellStyle name="表体文字居中 67 7" xfId="10086"/>
    <cellStyle name="表体文字居中 67 8" xfId="10091"/>
    <cellStyle name="表体文字居中 68" xfId="31523"/>
    <cellStyle name="表体文字居中 68 2" xfId="31525"/>
    <cellStyle name="表体文字居中 68 3" xfId="31526"/>
    <cellStyle name="表体文字居中 68 4" xfId="31527"/>
    <cellStyle name="表体文字居中 68 5" xfId="31528"/>
    <cellStyle name="表体文字居中 68 6" xfId="31529"/>
    <cellStyle name="表体文字居中 68 7" xfId="10108"/>
    <cellStyle name="表体文字居中 68 8" xfId="10111"/>
    <cellStyle name="表体文字居中 69" xfId="31530"/>
    <cellStyle name="表体文字居中 7" xfId="31532"/>
    <cellStyle name="表体文字居中 7 10" xfId="2529"/>
    <cellStyle name="表体文字居中 7 2" xfId="31533"/>
    <cellStyle name="表体文字居中 7 2 2" xfId="31534"/>
    <cellStyle name="表体文字居中 7 2 3" xfId="31535"/>
    <cellStyle name="表体文字居中 7 2 4" xfId="31536"/>
    <cellStyle name="表体文字居中 7 2 5" xfId="31537"/>
    <cellStyle name="表体文字居中 7 2 6" xfId="31538"/>
    <cellStyle name="表体文字居中 7 2 7" xfId="31539"/>
    <cellStyle name="表体文字居中 7 2 8" xfId="31540"/>
    <cellStyle name="表体文字居中 7 3" xfId="23837"/>
    <cellStyle name="表体文字居中 7 3 2" xfId="2283"/>
    <cellStyle name="表体文字居中 7 3 3" xfId="2289"/>
    <cellStyle name="表体文字居中 7 3 4" xfId="2295"/>
    <cellStyle name="表体文字居中 7 3 5" xfId="2318"/>
    <cellStyle name="表体文字居中 7 3 6" xfId="2322"/>
    <cellStyle name="表体文字居中 7 3 7" xfId="2325"/>
    <cellStyle name="表体文字居中 7 3 8" xfId="2328"/>
    <cellStyle name="表体文字居中 7 4" xfId="31541"/>
    <cellStyle name="表体文字居中 7 5" xfId="31542"/>
    <cellStyle name="表体文字居中 7 6" xfId="31543"/>
    <cellStyle name="表体文字居中 7 7" xfId="31544"/>
    <cellStyle name="表体文字居中 7 8" xfId="31545"/>
    <cellStyle name="表体文字居中 7 9" xfId="31546"/>
    <cellStyle name="表体文字居中 70" xfId="31501"/>
    <cellStyle name="表体文字居中 71" xfId="31514"/>
    <cellStyle name="表体文字居中 72" xfId="31521"/>
    <cellStyle name="表体文字居中 73" xfId="31524"/>
    <cellStyle name="表体文字居中 74" xfId="31531"/>
    <cellStyle name="表体文字居中 75" xfId="31547"/>
    <cellStyle name="表体文字居中 8" xfId="31548"/>
    <cellStyle name="表体文字居中 8 10" xfId="31549"/>
    <cellStyle name="表体文字居中 8 2" xfId="31550"/>
    <cellStyle name="表体文字居中 8 2 2" xfId="31551"/>
    <cellStyle name="表体文字居中 8 2 3" xfId="31552"/>
    <cellStyle name="表体文字居中 8 2 4" xfId="31553"/>
    <cellStyle name="表体文字居中 8 2 5" xfId="31554"/>
    <cellStyle name="表体文字居中 8 2 6" xfId="31555"/>
    <cellStyle name="表体文字居中 8 2 7" xfId="31556"/>
    <cellStyle name="表体文字居中 8 2 8" xfId="31557"/>
    <cellStyle name="表体文字居中 8 3" xfId="26356"/>
    <cellStyle name="表体文字居中 8 3 2" xfId="31558"/>
    <cellStyle name="表体文字居中 8 3 3" xfId="31559"/>
    <cellStyle name="表体文字居中 8 3 4" xfId="31560"/>
    <cellStyle name="表体文字居中 8 3 5" xfId="31561"/>
    <cellStyle name="表体文字居中 8 3 6" xfId="31562"/>
    <cellStyle name="表体文字居中 8 3 7" xfId="31563"/>
    <cellStyle name="表体文字居中 8 3 8" xfId="12500"/>
    <cellStyle name="表体文字居中 8 4" xfId="31564"/>
    <cellStyle name="表体文字居中 8 5" xfId="31565"/>
    <cellStyle name="表体文字居中 8 6" xfId="31566"/>
    <cellStyle name="表体文字居中 8 7" xfId="31567"/>
    <cellStyle name="表体文字居中 8 8" xfId="31568"/>
    <cellStyle name="表体文字居中 8 9" xfId="31569"/>
    <cellStyle name="表体文字居中 9" xfId="31570"/>
    <cellStyle name="表体文字居中 9 10" xfId="31572"/>
    <cellStyle name="表体文字居中 9 2" xfId="31573"/>
    <cellStyle name="表体文字居中 9 2 2" xfId="31574"/>
    <cellStyle name="表体文字居中 9 2 3" xfId="31575"/>
    <cellStyle name="表体文字居中 9 2 4" xfId="31576"/>
    <cellStyle name="表体文字居中 9 2 5" xfId="31577"/>
    <cellStyle name="表体文字居中 9 2 6" xfId="31578"/>
    <cellStyle name="表体文字居中 9 2 7" xfId="31579"/>
    <cellStyle name="表体文字居中 9 2 8" xfId="31580"/>
    <cellStyle name="表体文字居中 9 3" xfId="31581"/>
    <cellStyle name="表体文字居中 9 3 2" xfId="31582"/>
    <cellStyle name="表体文字居中 9 3 3" xfId="31583"/>
    <cellStyle name="表体文字居中 9 3 4" xfId="31584"/>
    <cellStyle name="表体文字居中 9 3 5" xfId="31585"/>
    <cellStyle name="表体文字居中 9 3 6" xfId="31586"/>
    <cellStyle name="表体文字居中 9 3 7" xfId="31587"/>
    <cellStyle name="表体文字居中 9 3 8" xfId="31588"/>
    <cellStyle name="表体文字居中 9 4" xfId="31589"/>
    <cellStyle name="表体文字居中 9 5" xfId="31590"/>
    <cellStyle name="表体文字居中 9 6" xfId="31591"/>
    <cellStyle name="表体文字居中 9 7" xfId="31592"/>
    <cellStyle name="表体文字居中 9 8" xfId="31593"/>
    <cellStyle name="表体文字居中 9 9" xfId="31596"/>
    <cellStyle name="表体文字居中(小)" xfId="11009"/>
    <cellStyle name="表体文字居中(小) 10" xfId="31597"/>
    <cellStyle name="表体文字居中(小) 10 10" xfId="31598"/>
    <cellStyle name="表体文字居中(小) 10 2" xfId="31599"/>
    <cellStyle name="表体文字居中(小) 10 2 2" xfId="20407"/>
    <cellStyle name="表体文字居中(小) 10 2 3" xfId="20463"/>
    <cellStyle name="表体文字居中(小) 10 2 4" xfId="20484"/>
    <cellStyle name="表体文字居中(小) 10 2 5" xfId="20525"/>
    <cellStyle name="表体文字居中(小) 10 2 6" xfId="20572"/>
    <cellStyle name="表体文字居中(小) 10 2 7" xfId="20620"/>
    <cellStyle name="表体文字居中(小) 10 2 8" xfId="20664"/>
    <cellStyle name="表体文字居中(小) 10 3" xfId="31600"/>
    <cellStyle name="表体文字居中(小) 10 3 2" xfId="31601"/>
    <cellStyle name="表体文字居中(小) 10 3 3" xfId="31602"/>
    <cellStyle name="表体文字居中(小) 10 3 4" xfId="31603"/>
    <cellStyle name="表体文字居中(小) 10 3 5" xfId="31604"/>
    <cellStyle name="表体文字居中(小) 10 3 6" xfId="31605"/>
    <cellStyle name="表体文字居中(小) 10 3 7" xfId="31606"/>
    <cellStyle name="表体文字居中(小) 10 3 8" xfId="31607"/>
    <cellStyle name="表体文字居中(小) 10 4" xfId="31608"/>
    <cellStyle name="表体文字居中(小) 10 5" xfId="31609"/>
    <cellStyle name="表体文字居中(小) 10 6" xfId="31610"/>
    <cellStyle name="表体文字居中(小) 10 7" xfId="31611"/>
    <cellStyle name="表体文字居中(小) 10 8" xfId="31612"/>
    <cellStyle name="表体文字居中(小) 10 9" xfId="31613"/>
    <cellStyle name="表体文字居中(小) 11" xfId="31614"/>
    <cellStyle name="表体文字居中(小) 11 10" xfId="8865"/>
    <cellStyle name="表体文字居中(小) 11 2" xfId="31615"/>
    <cellStyle name="表体文字居中(小) 11 2 2" xfId="31616"/>
    <cellStyle name="表体文字居中(小) 11 2 3" xfId="31617"/>
    <cellStyle name="表体文字居中(小) 11 2 4" xfId="31618"/>
    <cellStyle name="表体文字居中(小) 11 2 5" xfId="31619"/>
    <cellStyle name="表体文字居中(小) 11 2 6" xfId="31620"/>
    <cellStyle name="表体文字居中(小) 11 2 7" xfId="31621"/>
    <cellStyle name="表体文字居中(小) 11 2 8" xfId="21866"/>
    <cellStyle name="表体文字居中(小) 11 3" xfId="31622"/>
    <cellStyle name="表体文字居中(小) 11 3 2" xfId="31623"/>
    <cellStyle name="表体文字居中(小) 11 3 3" xfId="31624"/>
    <cellStyle name="表体文字居中(小) 11 3 4" xfId="31625"/>
    <cellStyle name="表体文字居中(小) 11 3 5" xfId="31626"/>
    <cellStyle name="表体文字居中(小) 11 3 6" xfId="31627"/>
    <cellStyle name="表体文字居中(小) 11 3 7" xfId="31628"/>
    <cellStyle name="表体文字居中(小) 11 3 8" xfId="21951"/>
    <cellStyle name="表体文字居中(小) 11 4" xfId="31629"/>
    <cellStyle name="表体文字居中(小) 11 5" xfId="31630"/>
    <cellStyle name="表体文字居中(小) 11 6" xfId="31631"/>
    <cellStyle name="表体文字居中(小) 11 7" xfId="31632"/>
    <cellStyle name="表体文字居中(小) 11 8" xfId="31633"/>
    <cellStyle name="表体文字居中(小) 11 9" xfId="31634"/>
    <cellStyle name="表体文字居中(小) 12" xfId="31635"/>
    <cellStyle name="表体文字居中(小) 12 10" xfId="8896"/>
    <cellStyle name="表体文字居中(小) 12 2" xfId="31636"/>
    <cellStyle name="表体文字居中(小) 12 2 2" xfId="31637"/>
    <cellStyle name="表体文字居中(小) 12 2 3" xfId="31638"/>
    <cellStyle name="表体文字居中(小) 12 2 4" xfId="31639"/>
    <cellStyle name="表体文字居中(小) 12 2 5" xfId="31640"/>
    <cellStyle name="表体文字居中(小) 12 2 6" xfId="31641"/>
    <cellStyle name="表体文字居中(小) 12 2 7" xfId="31642"/>
    <cellStyle name="表体文字居中(小) 12 2 8" xfId="31643"/>
    <cellStyle name="表体文字居中(小) 12 3" xfId="31644"/>
    <cellStyle name="表体文字居中(小) 12 3 2" xfId="31645"/>
    <cellStyle name="表体文字居中(小) 12 3 3" xfId="31646"/>
    <cellStyle name="表体文字居中(小) 12 3 4" xfId="31647"/>
    <cellStyle name="表体文字居中(小) 12 3 5" xfId="31648"/>
    <cellStyle name="表体文字居中(小) 12 3 6" xfId="31649"/>
    <cellStyle name="表体文字居中(小) 12 3 7" xfId="31650"/>
    <cellStyle name="表体文字居中(小) 12 3 8" xfId="31651"/>
    <cellStyle name="表体文字居中(小) 12 4" xfId="31652"/>
    <cellStyle name="表体文字居中(小) 12 5" xfId="31653"/>
    <cellStyle name="表体文字居中(小) 12 6" xfId="31654"/>
    <cellStyle name="表体文字居中(小) 12 7" xfId="31655"/>
    <cellStyle name="表体文字居中(小) 12 8" xfId="31656"/>
    <cellStyle name="表体文字居中(小) 12 9" xfId="31657"/>
    <cellStyle name="表体文字居中(小) 13" xfId="31658"/>
    <cellStyle name="表体文字居中(小) 13 10" xfId="31659"/>
    <cellStyle name="表体文字居中(小) 13 2" xfId="31660"/>
    <cellStyle name="表体文字居中(小) 13 2 2" xfId="31230"/>
    <cellStyle name="表体文字居中(小) 13 2 3" xfId="31263"/>
    <cellStyle name="表体文字居中(小) 13 2 4" xfId="31317"/>
    <cellStyle name="表体文字居中(小) 13 2 5" xfId="31350"/>
    <cellStyle name="表体文字居中(小) 13 2 6" xfId="31381"/>
    <cellStyle name="表体文字居中(小) 13 2 7" xfId="31410"/>
    <cellStyle name="表体文字居中(小) 13 2 8" xfId="31450"/>
    <cellStyle name="表体文字居中(小) 13 3" xfId="21660"/>
    <cellStyle name="表体文字居中(小) 13 3 2" xfId="31661"/>
    <cellStyle name="表体文字居中(小) 13 3 3" xfId="31662"/>
    <cellStyle name="表体文字居中(小) 13 3 4" xfId="31663"/>
    <cellStyle name="表体文字居中(小) 13 3 5" xfId="31664"/>
    <cellStyle name="表体文字居中(小) 13 3 6" xfId="31665"/>
    <cellStyle name="表体文字居中(小) 13 3 7" xfId="31666"/>
    <cellStyle name="表体文字居中(小) 13 3 8" xfId="31667"/>
    <cellStyle name="表体文字居中(小) 13 4" xfId="31668"/>
    <cellStyle name="表体文字居中(小) 13 5" xfId="31669"/>
    <cellStyle name="表体文字居中(小) 13 6" xfId="31670"/>
    <cellStyle name="表体文字居中(小) 13 7" xfId="31671"/>
    <cellStyle name="表体文字居中(小) 13 8" xfId="31672"/>
    <cellStyle name="表体文字居中(小) 13 9" xfId="31673"/>
    <cellStyle name="表体文字居中(小) 14" xfId="31674"/>
    <cellStyle name="表体文字居中(小) 14 10" xfId="30099"/>
    <cellStyle name="表体文字居中(小) 14 2" xfId="31675"/>
    <cellStyle name="表体文字居中(小) 14 2 2" xfId="31676"/>
    <cellStyle name="表体文字居中(小) 14 2 3" xfId="31677"/>
    <cellStyle name="表体文字居中(小) 14 2 4" xfId="31678"/>
    <cellStyle name="表体文字居中(小) 14 2 5" xfId="31679"/>
    <cellStyle name="表体文字居中(小) 14 2 6" xfId="31680"/>
    <cellStyle name="表体文字居中(小) 14 2 7" xfId="31681"/>
    <cellStyle name="表体文字居中(小) 14 2 8" xfId="31682"/>
    <cellStyle name="表体文字居中(小) 14 3" xfId="31683"/>
    <cellStyle name="表体文字居中(小) 14 3 2" xfId="31684"/>
    <cellStyle name="表体文字居中(小) 14 3 3" xfId="31685"/>
    <cellStyle name="表体文字居中(小) 14 3 4" xfId="31686"/>
    <cellStyle name="表体文字居中(小) 14 3 5" xfId="9153"/>
    <cellStyle name="表体文字居中(小) 14 3 6" xfId="31687"/>
    <cellStyle name="表体文字居中(小) 14 3 7" xfId="31688"/>
    <cellStyle name="表体文字居中(小) 14 3 8" xfId="31689"/>
    <cellStyle name="表体文字居中(小) 14 4" xfId="31690"/>
    <cellStyle name="表体文字居中(小) 14 5" xfId="31691"/>
    <cellStyle name="表体文字居中(小) 14 6" xfId="6349"/>
    <cellStyle name="表体文字居中(小) 14 7" xfId="6364"/>
    <cellStyle name="表体文字居中(小) 14 8" xfId="6370"/>
    <cellStyle name="表体文字居中(小) 14 9" xfId="6372"/>
    <cellStyle name="表体文字居中(小) 15" xfId="31692"/>
    <cellStyle name="表体文字居中(小) 15 10" xfId="31694"/>
    <cellStyle name="表体文字居中(小) 15 2" xfId="31696"/>
    <cellStyle name="表体文字居中(小) 15 2 2" xfId="31698"/>
    <cellStyle name="表体文字居中(小) 15 2 3" xfId="31700"/>
    <cellStyle name="表体文字居中(小) 15 2 4" xfId="31702"/>
    <cellStyle name="表体文字居中(小) 15 2 5" xfId="31704"/>
    <cellStyle name="表体文字居中(小) 15 2 6" xfId="31706"/>
    <cellStyle name="表体文字居中(小) 15 2 7" xfId="31708"/>
    <cellStyle name="表体文字居中(小) 15 2 8" xfId="31710"/>
    <cellStyle name="表体文字居中(小) 15 3" xfId="31712"/>
    <cellStyle name="表体文字居中(小) 15 3 2" xfId="31714"/>
    <cellStyle name="表体文字居中(小) 15 3 3" xfId="31716"/>
    <cellStyle name="表体文字居中(小) 15 3 4" xfId="31718"/>
    <cellStyle name="表体文字居中(小) 15 3 5" xfId="31720"/>
    <cellStyle name="表体文字居中(小) 15 3 6" xfId="31722"/>
    <cellStyle name="表体文字居中(小) 15 3 7" xfId="31724"/>
    <cellStyle name="表体文字居中(小) 15 3 8" xfId="31726"/>
    <cellStyle name="表体文字居中(小) 15 4" xfId="31728"/>
    <cellStyle name="表体文字居中(小) 15 5" xfId="31730"/>
    <cellStyle name="表体文字居中(小) 15 6" xfId="31732"/>
    <cellStyle name="表体文字居中(小) 15 7" xfId="31734"/>
    <cellStyle name="表体文字居中(小) 15 8" xfId="31736"/>
    <cellStyle name="表体文字居中(小) 15 9" xfId="31738"/>
    <cellStyle name="表体文字居中(小) 16" xfId="24569"/>
    <cellStyle name="表体文字居中(小) 16 10" xfId="8922"/>
    <cellStyle name="表体文字居中(小) 16 2" xfId="24573"/>
    <cellStyle name="表体文字居中(小) 16 2 2" xfId="31740"/>
    <cellStyle name="表体文字居中(小) 16 2 3" xfId="31742"/>
    <cellStyle name="表体文字居中(小) 16 2 4" xfId="31744"/>
    <cellStyle name="表体文字居中(小) 16 2 5" xfId="31746"/>
    <cellStyle name="表体文字居中(小) 16 2 6" xfId="31748"/>
    <cellStyle name="表体文字居中(小) 16 2 7" xfId="31750"/>
    <cellStyle name="表体文字居中(小) 16 2 8" xfId="31752"/>
    <cellStyle name="表体文字居中(小) 16 3" xfId="24577"/>
    <cellStyle name="表体文字居中(小) 16 3 2" xfId="31754"/>
    <cellStyle name="表体文字居中(小) 16 3 3" xfId="31756"/>
    <cellStyle name="表体文字居中(小) 16 3 4" xfId="31758"/>
    <cellStyle name="表体文字居中(小) 16 3 5" xfId="31760"/>
    <cellStyle name="表体文字居中(小) 16 3 6" xfId="31762"/>
    <cellStyle name="表体文字居中(小) 16 3 7" xfId="31764"/>
    <cellStyle name="表体文字居中(小) 16 3 8" xfId="31766"/>
    <cellStyle name="表体文字居中(小) 16 4" xfId="24581"/>
    <cellStyle name="表体文字居中(小) 16 5" xfId="24585"/>
    <cellStyle name="表体文字居中(小) 16 6" xfId="24589"/>
    <cellStyle name="表体文字居中(小) 16 7" xfId="24593"/>
    <cellStyle name="表体文字居中(小) 16 8" xfId="24597"/>
    <cellStyle name="表体文字居中(小) 16 9" xfId="31768"/>
    <cellStyle name="表体文字居中(小) 17" xfId="24601"/>
    <cellStyle name="表体文字居中(小) 17 10" xfId="8949"/>
    <cellStyle name="表体文字居中(小) 17 2" xfId="24605"/>
    <cellStyle name="表体文字居中(小) 17 2 2" xfId="31770"/>
    <cellStyle name="表体文字居中(小) 17 2 3" xfId="31772"/>
    <cellStyle name="表体文字居中(小) 17 2 4" xfId="31774"/>
    <cellStyle name="表体文字居中(小) 17 2 5" xfId="31776"/>
    <cellStyle name="表体文字居中(小) 17 2 6" xfId="31778"/>
    <cellStyle name="表体文字居中(小) 17 2 7" xfId="31780"/>
    <cellStyle name="表体文字居中(小) 17 2 8" xfId="31782"/>
    <cellStyle name="表体文字居中(小) 17 3" xfId="24609"/>
    <cellStyle name="表体文字居中(小) 17 3 2" xfId="31784"/>
    <cellStyle name="表体文字居中(小) 17 3 3" xfId="31786"/>
    <cellStyle name="表体文字居中(小) 17 3 4" xfId="31788"/>
    <cellStyle name="表体文字居中(小) 17 3 5" xfId="31790"/>
    <cellStyle name="表体文字居中(小) 17 3 6" xfId="31792"/>
    <cellStyle name="表体文字居中(小) 17 3 7" xfId="31794"/>
    <cellStyle name="表体文字居中(小) 17 3 8" xfId="31796"/>
    <cellStyle name="表体文字居中(小) 17 4" xfId="24613"/>
    <cellStyle name="表体文字居中(小) 17 5" xfId="24617"/>
    <cellStyle name="表体文字居中(小) 17 6" xfId="24621"/>
    <cellStyle name="表体文字居中(小) 17 7" xfId="24625"/>
    <cellStyle name="表体文字居中(小) 17 8" xfId="24629"/>
    <cellStyle name="表体文字居中(小) 17 9" xfId="31798"/>
    <cellStyle name="表体文字居中(小) 18" xfId="24633"/>
    <cellStyle name="表体文字居中(小) 18 10" xfId="31800"/>
    <cellStyle name="表体文字居中(小) 18 2" xfId="14684"/>
    <cellStyle name="表体文字居中(小) 18 2 2" xfId="31802"/>
    <cellStyle name="表体文字居中(小) 18 2 3" xfId="31804"/>
    <cellStyle name="表体文字居中(小) 18 2 4" xfId="31806"/>
    <cellStyle name="表体文字居中(小) 18 2 5" xfId="1918"/>
    <cellStyle name="表体文字居中(小) 18 2 6" xfId="1921"/>
    <cellStyle name="表体文字居中(小) 18 2 7" xfId="1681"/>
    <cellStyle name="表体文字居中(小) 18 2 8" xfId="156"/>
    <cellStyle name="表体文字居中(小) 18 3" xfId="14690"/>
    <cellStyle name="表体文字居中(小) 18 3 2" xfId="31808"/>
    <cellStyle name="表体文字居中(小) 18 3 3" xfId="31810"/>
    <cellStyle name="表体文字居中(小) 18 3 4" xfId="31812"/>
    <cellStyle name="表体文字居中(小) 18 3 5" xfId="31814"/>
    <cellStyle name="表体文字居中(小) 18 3 6" xfId="31816"/>
    <cellStyle name="表体文字居中(小) 18 3 7" xfId="31818"/>
    <cellStyle name="表体文字居中(小) 18 3 8" xfId="31820"/>
    <cellStyle name="表体文字居中(小) 18 4" xfId="14694"/>
    <cellStyle name="表体文字居中(小) 18 5" xfId="14698"/>
    <cellStyle name="表体文字居中(小) 18 6" xfId="14702"/>
    <cellStyle name="表体文字居中(小) 18 7" xfId="14708"/>
    <cellStyle name="表体文字居中(小) 18 8" xfId="26999"/>
    <cellStyle name="表体文字居中(小) 18 9" xfId="27003"/>
    <cellStyle name="表体文字居中(小) 19" xfId="24637"/>
    <cellStyle name="表体文字居中(小) 19 10" xfId="30109"/>
    <cellStyle name="表体文字居中(小) 19 2" xfId="14714"/>
    <cellStyle name="表体文字居中(小) 19 2 2" xfId="8774"/>
    <cellStyle name="表体文字居中(小) 19 2 3" xfId="31822"/>
    <cellStyle name="表体文字居中(小) 19 2 4" xfId="31824"/>
    <cellStyle name="表体文字居中(小) 19 2 5" xfId="31826"/>
    <cellStyle name="表体文字居中(小) 19 2 6" xfId="31828"/>
    <cellStyle name="表体文字居中(小) 19 2 7" xfId="31830"/>
    <cellStyle name="表体文字居中(小) 19 2 8" xfId="31832"/>
    <cellStyle name="表体文字居中(小) 19 3" xfId="14718"/>
    <cellStyle name="表体文字居中(小) 19 3 2" xfId="8779"/>
    <cellStyle name="表体文字居中(小) 19 3 3" xfId="31834"/>
    <cellStyle name="表体文字居中(小) 19 3 4" xfId="31836"/>
    <cellStyle name="表体文字居中(小) 19 3 5" xfId="31838"/>
    <cellStyle name="表体文字居中(小) 19 3 6" xfId="31840"/>
    <cellStyle name="表体文字居中(小) 19 3 7" xfId="31842"/>
    <cellStyle name="表体文字居中(小) 19 3 8" xfId="31844"/>
    <cellStyle name="表体文字居中(小) 19 4" xfId="14722"/>
    <cellStyle name="表体文字居中(小) 19 5" xfId="14726"/>
    <cellStyle name="表体文字居中(小) 19 6" xfId="14730"/>
    <cellStyle name="表体文字居中(小) 19 7" xfId="14736"/>
    <cellStyle name="表体文字居中(小) 19 8" xfId="27015"/>
    <cellStyle name="表体文字居中(小) 19 9" xfId="27019"/>
    <cellStyle name="表体文字居中(小) 2" xfId="11011"/>
    <cellStyle name="表体文字居中(小) 2 10" xfId="27580"/>
    <cellStyle name="表体文字居中(小) 2 10 10" xfId="31846"/>
    <cellStyle name="表体文字居中(小) 2 10 2" xfId="26188"/>
    <cellStyle name="表体文字居中(小) 2 10 2 2" xfId="31847"/>
    <cellStyle name="表体文字居中(小) 2 10 2 3" xfId="11929"/>
    <cellStyle name="表体文字居中(小) 2 10 2 4" xfId="11931"/>
    <cellStyle name="表体文字居中(小) 2 10 2 5" xfId="31848"/>
    <cellStyle name="表体文字居中(小) 2 10 2 6" xfId="31849"/>
    <cellStyle name="表体文字居中(小) 2 10 2 7" xfId="31850"/>
    <cellStyle name="表体文字居中(小) 2 10 2 8" xfId="31851"/>
    <cellStyle name="表体文字居中(小) 2 10 3" xfId="26191"/>
    <cellStyle name="表体文字居中(小) 2 10 3 2" xfId="31852"/>
    <cellStyle name="表体文字居中(小) 2 10 3 3" xfId="11934"/>
    <cellStyle name="表体文字居中(小) 2 10 3 4" xfId="11936"/>
    <cellStyle name="表体文字居中(小) 2 10 3 5" xfId="31853"/>
    <cellStyle name="表体文字居中(小) 2 10 3 6" xfId="31854"/>
    <cellStyle name="表体文字居中(小) 2 10 3 7" xfId="31855"/>
    <cellStyle name="表体文字居中(小) 2 10 3 8" xfId="31856"/>
    <cellStyle name="表体文字居中(小) 2 10 4" xfId="31857"/>
    <cellStyle name="表体文字居中(小) 2 10 5" xfId="29517"/>
    <cellStyle name="表体文字居中(小) 2 10 6" xfId="29530"/>
    <cellStyle name="表体文字居中(小) 2 10 7" xfId="29543"/>
    <cellStyle name="表体文字居中(小) 2 10 8" xfId="29546"/>
    <cellStyle name="表体文字居中(小) 2 10 9" xfId="29549"/>
    <cellStyle name="表体文字居中(小) 2 11" xfId="31858"/>
    <cellStyle name="表体文字居中(小) 2 11 10" xfId="28017"/>
    <cellStyle name="表体文字居中(小) 2 11 2" xfId="26216"/>
    <cellStyle name="表体文字居中(小) 2 11 2 2" xfId="31859"/>
    <cellStyle name="表体文字居中(小) 2 11 2 3" xfId="31860"/>
    <cellStyle name="表体文字居中(小) 2 11 2 4" xfId="31861"/>
    <cellStyle name="表体文字居中(小) 2 11 2 5" xfId="31862"/>
    <cellStyle name="表体文字居中(小) 2 11 2 6" xfId="31863"/>
    <cellStyle name="表体文字居中(小) 2 11 2 7" xfId="31864"/>
    <cellStyle name="表体文字居中(小) 2 11 2 8" xfId="31865"/>
    <cellStyle name="表体文字居中(小) 2 11 3" xfId="26219"/>
    <cellStyle name="表体文字居中(小) 2 11 3 2" xfId="31866"/>
    <cellStyle name="表体文字居中(小) 2 11 3 3" xfId="31867"/>
    <cellStyle name="表体文字居中(小) 2 11 3 4" xfId="31868"/>
    <cellStyle name="表体文字居中(小) 2 11 3 5" xfId="31869"/>
    <cellStyle name="表体文字居中(小) 2 11 3 6" xfId="31870"/>
    <cellStyle name="表体文字居中(小) 2 11 3 7" xfId="31871"/>
    <cellStyle name="表体文字居中(小) 2 11 3 8" xfId="31872"/>
    <cellStyle name="表体文字居中(小) 2 11 4" xfId="26708"/>
    <cellStyle name="表体文字居中(小) 2 11 5" xfId="29562"/>
    <cellStyle name="表体文字居中(小) 2 11 6" xfId="29579"/>
    <cellStyle name="表体文字居中(小) 2 11 7" xfId="29596"/>
    <cellStyle name="表体文字居中(小) 2 11 8" xfId="29599"/>
    <cellStyle name="表体文字居中(小) 2 11 9" xfId="29602"/>
    <cellStyle name="表体文字居中(小) 2 12" xfId="31873"/>
    <cellStyle name="表体文字居中(小) 2 12 10" xfId="5278"/>
    <cellStyle name="表体文字居中(小) 2 12 2" xfId="26246"/>
    <cellStyle name="表体文字居中(小) 2 12 2 2" xfId="31874"/>
    <cellStyle name="表体文字居中(小) 2 12 2 3" xfId="31875"/>
    <cellStyle name="表体文字居中(小) 2 12 2 4" xfId="31876"/>
    <cellStyle name="表体文字居中(小) 2 12 2 5" xfId="31877"/>
    <cellStyle name="表体文字居中(小) 2 12 2 6" xfId="31878"/>
    <cellStyle name="表体文字居中(小) 2 12 2 7" xfId="31879"/>
    <cellStyle name="表体文字居中(小) 2 12 2 8" xfId="31880"/>
    <cellStyle name="表体文字居中(小) 2 12 3" xfId="26249"/>
    <cellStyle name="表体文字居中(小) 2 12 3 2" xfId="31881"/>
    <cellStyle name="表体文字居中(小) 2 12 3 3" xfId="31882"/>
    <cellStyle name="表体文字居中(小) 2 12 3 4" xfId="31883"/>
    <cellStyle name="表体文字居中(小) 2 12 3 5" xfId="31884"/>
    <cellStyle name="表体文字居中(小) 2 12 3 6" xfId="31885"/>
    <cellStyle name="表体文字居中(小) 2 12 3 7" xfId="31886"/>
    <cellStyle name="表体文字居中(小) 2 12 3 8" xfId="31887"/>
    <cellStyle name="表体文字居中(小) 2 12 4" xfId="31888"/>
    <cellStyle name="表体文字居中(小) 2 12 5" xfId="29615"/>
    <cellStyle name="表体文字居中(小) 2 12 6" xfId="29632"/>
    <cellStyle name="表体文字居中(小) 2 12 7" xfId="29645"/>
    <cellStyle name="表体文字居中(小) 2 12 8" xfId="29648"/>
    <cellStyle name="表体文字居中(小) 2 12 9" xfId="29651"/>
    <cellStyle name="表体文字居中(小) 2 13" xfId="31889"/>
    <cellStyle name="表体文字居中(小) 2 13 10" xfId="615"/>
    <cellStyle name="表体文字居中(小) 2 13 2" xfId="26287"/>
    <cellStyle name="表体文字居中(小) 2 13 2 2" xfId="31890"/>
    <cellStyle name="表体文字居中(小) 2 13 2 3" xfId="31891"/>
    <cellStyle name="表体文字居中(小) 2 13 2 4" xfId="31892"/>
    <cellStyle name="表体文字居中(小) 2 13 2 5" xfId="31893"/>
    <cellStyle name="表体文字居中(小) 2 13 2 6" xfId="31894"/>
    <cellStyle name="表体文字居中(小) 2 13 2 7" xfId="31895"/>
    <cellStyle name="表体文字居中(小) 2 13 2 8" xfId="31896"/>
    <cellStyle name="表体文字居中(小) 2 13 3" xfId="26290"/>
    <cellStyle name="表体文字居中(小) 2 13 3 2" xfId="31897"/>
    <cellStyle name="表体文字居中(小) 2 13 3 3" xfId="31898"/>
    <cellStyle name="表体文字居中(小) 2 13 3 4" xfId="31899"/>
    <cellStyle name="表体文字居中(小) 2 13 3 5" xfId="31900"/>
    <cellStyle name="表体文字居中(小) 2 13 3 6" xfId="31901"/>
    <cellStyle name="表体文字居中(小) 2 13 3 7" xfId="31902"/>
    <cellStyle name="表体文字居中(小) 2 13 3 8" xfId="31903"/>
    <cellStyle name="表体文字居中(小) 2 13 4" xfId="31904"/>
    <cellStyle name="表体文字居中(小) 2 13 5" xfId="29682"/>
    <cellStyle name="表体文字居中(小) 2 13 6" xfId="29691"/>
    <cellStyle name="表体文字居中(小) 2 13 7" xfId="29700"/>
    <cellStyle name="表体文字居中(小) 2 13 8" xfId="190"/>
    <cellStyle name="表体文字居中(小) 2 13 9" xfId="198"/>
    <cellStyle name="表体文字居中(小) 2 14" xfId="31905"/>
    <cellStyle name="表体文字居中(小) 2 14 10" xfId="31164"/>
    <cellStyle name="表体文字居中(小) 2 14 2" xfId="26348"/>
    <cellStyle name="表体文字居中(小) 2 14 2 2" xfId="31906"/>
    <cellStyle name="表体文字居中(小) 2 14 2 3" xfId="31907"/>
    <cellStyle name="表体文字居中(小) 2 14 2 4" xfId="31908"/>
    <cellStyle name="表体文字居中(小) 2 14 2 5" xfId="31909"/>
    <cellStyle name="表体文字居中(小) 2 14 2 6" xfId="31910"/>
    <cellStyle name="表体文字居中(小) 2 14 2 7" xfId="31911"/>
    <cellStyle name="表体文字居中(小) 2 14 2 8" xfId="31912"/>
    <cellStyle name="表体文字居中(小) 2 14 3" xfId="26351"/>
    <cellStyle name="表体文字居中(小) 2 14 3 2" xfId="31913"/>
    <cellStyle name="表体文字居中(小) 2 14 3 3" xfId="31914"/>
    <cellStyle name="表体文字居中(小) 2 14 3 4" xfId="31915"/>
    <cellStyle name="表体文字居中(小) 2 14 3 5" xfId="31916"/>
    <cellStyle name="表体文字居中(小) 2 14 3 6" xfId="31917"/>
    <cellStyle name="表体文字居中(小) 2 14 3 7" xfId="31918"/>
    <cellStyle name="表体文字居中(小) 2 14 3 8" xfId="31919"/>
    <cellStyle name="表体文字居中(小) 2 14 4" xfId="31920"/>
    <cellStyle name="表体文字居中(小) 2 14 5" xfId="29705"/>
    <cellStyle name="表体文字居中(小) 2 14 6" xfId="29714"/>
    <cellStyle name="表体文字居中(小) 2 14 7" xfId="29723"/>
    <cellStyle name="表体文字居中(小) 2 14 8" xfId="29725"/>
    <cellStyle name="表体文字居中(小) 2 14 9" xfId="29727"/>
    <cellStyle name="表体文字居中(小) 2 15" xfId="31921"/>
    <cellStyle name="表体文字居中(小) 2 15 10" xfId="31594"/>
    <cellStyle name="表体文字居中(小) 2 15 2" xfId="3360"/>
    <cellStyle name="表体文字居中(小) 2 15 2 2" xfId="31923"/>
    <cellStyle name="表体文字居中(小) 2 15 2 3" xfId="31925"/>
    <cellStyle name="表体文字居中(小) 2 15 2 4" xfId="31927"/>
    <cellStyle name="表体文字居中(小) 2 15 2 5" xfId="31929"/>
    <cellStyle name="表体文字居中(小) 2 15 2 6" xfId="31931"/>
    <cellStyle name="表体文字居中(小) 2 15 2 7" xfId="31933"/>
    <cellStyle name="表体文字居中(小) 2 15 2 8" xfId="31935"/>
    <cellStyle name="表体文字居中(小) 2 15 3" xfId="3365"/>
    <cellStyle name="表体文字居中(小) 2 15 3 2" xfId="31937"/>
    <cellStyle name="表体文字居中(小) 2 15 3 3" xfId="31939"/>
    <cellStyle name="表体文字居中(小) 2 15 3 4" xfId="31941"/>
    <cellStyle name="表体文字居中(小) 2 15 3 5" xfId="31943"/>
    <cellStyle name="表体文字居中(小) 2 15 3 6" xfId="31945"/>
    <cellStyle name="表体文字居中(小) 2 15 3 7" xfId="31947"/>
    <cellStyle name="表体文字居中(小) 2 15 3 8" xfId="31949"/>
    <cellStyle name="表体文字居中(小) 2 15 4" xfId="31951"/>
    <cellStyle name="表体文字居中(小) 2 15 5" xfId="29732"/>
    <cellStyle name="表体文字居中(小) 2 15 6" xfId="29735"/>
    <cellStyle name="表体文字居中(小) 2 15 7" xfId="29738"/>
    <cellStyle name="表体文字居中(小) 2 15 8" xfId="29741"/>
    <cellStyle name="表体文字居中(小) 2 15 9" xfId="29744"/>
    <cellStyle name="表体文字居中(小) 2 16" xfId="31953"/>
    <cellStyle name="表体文字居中(小) 2 16 10" xfId="28059"/>
    <cellStyle name="表体文字居中(小) 2 16 2" xfId="26425"/>
    <cellStyle name="表体文字居中(小) 2 16 2 2" xfId="31955"/>
    <cellStyle name="表体文字居中(小) 2 16 2 3" xfId="31957"/>
    <cellStyle name="表体文字居中(小) 2 16 2 4" xfId="31959"/>
    <cellStyle name="表体文字居中(小) 2 16 2 5" xfId="31961"/>
    <cellStyle name="表体文字居中(小) 2 16 2 6" xfId="31963"/>
    <cellStyle name="表体文字居中(小) 2 16 2 7" xfId="31965"/>
    <cellStyle name="表体文字居中(小) 2 16 2 8" xfId="31967"/>
    <cellStyle name="表体文字居中(小) 2 16 3" xfId="26429"/>
    <cellStyle name="表体文字居中(小) 2 16 3 2" xfId="31969"/>
    <cellStyle name="表体文字居中(小) 2 16 3 3" xfId="31971"/>
    <cellStyle name="表体文字居中(小) 2 16 3 4" xfId="31973"/>
    <cellStyle name="表体文字居中(小) 2 16 3 5" xfId="31975"/>
    <cellStyle name="表体文字居中(小) 2 16 3 6" xfId="31977"/>
    <cellStyle name="表体文字居中(小) 2 16 3 7" xfId="31979"/>
    <cellStyle name="表体文字居中(小) 2 16 3 8" xfId="31981"/>
    <cellStyle name="表体文字居中(小) 2 16 4" xfId="26727"/>
    <cellStyle name="表体文字居中(小) 2 16 5" xfId="29749"/>
    <cellStyle name="表体文字居中(小) 2 16 6" xfId="29752"/>
    <cellStyle name="表体文字居中(小) 2 16 7" xfId="6190"/>
    <cellStyle name="表体文字居中(小) 2 16 8" xfId="6194"/>
    <cellStyle name="表体文字居中(小) 2 16 9" xfId="29755"/>
    <cellStyle name="表体文字居中(小) 2 17" xfId="31983"/>
    <cellStyle name="表体文字居中(小) 2 17 10" xfId="31985"/>
    <cellStyle name="表体文字居中(小) 2 17 2" xfId="26489"/>
    <cellStyle name="表体文字居中(小) 2 17 2 2" xfId="31987"/>
    <cellStyle name="表体文字居中(小) 2 17 2 3" xfId="31989"/>
    <cellStyle name="表体文字居中(小) 2 17 2 4" xfId="31991"/>
    <cellStyle name="表体文字居中(小) 2 17 2 5" xfId="31993"/>
    <cellStyle name="表体文字居中(小) 2 17 2 6" xfId="31995"/>
    <cellStyle name="表体文字居中(小) 2 17 2 7" xfId="31997"/>
    <cellStyle name="表体文字居中(小) 2 17 2 8" xfId="31999"/>
    <cellStyle name="表体文字居中(小) 2 17 3" xfId="26493"/>
    <cellStyle name="表体文字居中(小) 2 17 3 2" xfId="32001"/>
    <cellStyle name="表体文字居中(小) 2 17 3 3" xfId="32003"/>
    <cellStyle name="表体文字居中(小) 2 17 3 4" xfId="32005"/>
    <cellStyle name="表体文字居中(小) 2 17 3 5" xfId="32007"/>
    <cellStyle name="表体文字居中(小) 2 17 3 6" xfId="32009"/>
    <cellStyle name="表体文字居中(小) 2 17 3 7" xfId="32011"/>
    <cellStyle name="表体文字居中(小) 2 17 3 8" xfId="32013"/>
    <cellStyle name="表体文字居中(小) 2 17 4" xfId="32015"/>
    <cellStyle name="表体文字居中(小) 2 17 5" xfId="32017"/>
    <cellStyle name="表体文字居中(小) 2 17 6" xfId="32019"/>
    <cellStyle name="表体文字居中(小) 2 17 7" xfId="735"/>
    <cellStyle name="表体文字居中(小) 2 17 8" xfId="744"/>
    <cellStyle name="表体文字居中(小) 2 17 9" xfId="755"/>
    <cellStyle name="表体文字居中(小) 2 18" xfId="32021"/>
    <cellStyle name="表体文字居中(小) 2 18 10" xfId="32023"/>
    <cellStyle name="表体文字居中(小) 2 18 2" xfId="26511"/>
    <cellStyle name="表体文字居中(小) 2 18 2 2" xfId="26053"/>
    <cellStyle name="表体文字居中(小) 2 18 2 3" xfId="7320"/>
    <cellStyle name="表体文字居中(小) 2 18 2 4" xfId="7328"/>
    <cellStyle name="表体文字居中(小) 2 18 2 5" xfId="7336"/>
    <cellStyle name="表体文字居中(小) 2 18 2 6" xfId="7340"/>
    <cellStyle name="表体文字居中(小) 2 18 2 7" xfId="3486"/>
    <cellStyle name="表体文字居中(小) 2 18 2 8" xfId="3493"/>
    <cellStyle name="表体文字居中(小) 2 18 3" xfId="26515"/>
    <cellStyle name="表体文字居中(小) 2 18 3 2" xfId="26096"/>
    <cellStyle name="表体文字居中(小) 2 18 3 3" xfId="4900"/>
    <cellStyle name="表体文字居中(小) 2 18 3 4" xfId="6994"/>
    <cellStyle name="表体文字居中(小) 2 18 3 5" xfId="7005"/>
    <cellStyle name="表体文字居中(小) 2 18 3 6" xfId="7014"/>
    <cellStyle name="表体文字居中(小) 2 18 3 7" xfId="3554"/>
    <cellStyle name="表体文字居中(小) 2 18 3 8" xfId="3565"/>
    <cellStyle name="表体文字居中(小) 2 18 4" xfId="32025"/>
    <cellStyle name="表体文字居中(小) 2 18 5" xfId="32027"/>
    <cellStyle name="表体文字居中(小) 2 18 6" xfId="32029"/>
    <cellStyle name="表体文字居中(小) 2 18 7" xfId="6201"/>
    <cellStyle name="表体文字居中(小) 2 18 8" xfId="6204"/>
    <cellStyle name="表体文字居中(小) 2 18 9" xfId="32031"/>
    <cellStyle name="表体文字居中(小) 2 19" xfId="32033"/>
    <cellStyle name="表体文字居中(小) 2 19 10" xfId="32035"/>
    <cellStyle name="表体文字居中(小) 2 19 2" xfId="26580"/>
    <cellStyle name="表体文字居中(小) 2 19 2 2" xfId="32037"/>
    <cellStyle name="表体文字居中(小) 2 19 2 3" xfId="32039"/>
    <cellStyle name="表体文字居中(小) 2 19 2 4" xfId="32041"/>
    <cellStyle name="表体文字居中(小) 2 19 2 5" xfId="32045"/>
    <cellStyle name="表体文字居中(小) 2 19 2 6" xfId="32049"/>
    <cellStyle name="表体文字居中(小) 2 19 2 7" xfId="32053"/>
    <cellStyle name="表体文字居中(小) 2 19 2 8" xfId="32057"/>
    <cellStyle name="表体文字居中(小) 2 19 3" xfId="21956"/>
    <cellStyle name="表体文字居中(小) 2 19 3 2" xfId="32061"/>
    <cellStyle name="表体文字居中(小) 2 19 3 3" xfId="32063"/>
    <cellStyle name="表体文字居中(小) 2 19 3 4" xfId="32065"/>
    <cellStyle name="表体文字居中(小) 2 19 3 5" xfId="32069"/>
    <cellStyle name="表体文字居中(小) 2 19 3 6" xfId="32073"/>
    <cellStyle name="表体文字居中(小) 2 19 3 7" xfId="12128"/>
    <cellStyle name="表体文字居中(小) 2 19 3 8" xfId="12133"/>
    <cellStyle name="表体文字居中(小) 2 19 4" xfId="21960"/>
    <cellStyle name="表体文字居中(小) 2 19 5" xfId="21964"/>
    <cellStyle name="表体文字居中(小) 2 19 6" xfId="21968"/>
    <cellStyle name="表体文字居中(小) 2 19 7" xfId="3412"/>
    <cellStyle name="表体文字居中(小) 2 19 8" xfId="3419"/>
    <cellStyle name="表体文字居中(小) 2 19 9" xfId="21973"/>
    <cellStyle name="表体文字居中(小) 2 2" xfId="32077"/>
    <cellStyle name="表体文字居中(小) 2 2 10" xfId="29254"/>
    <cellStyle name="表体文字居中(小) 2 2 2" xfId="32078"/>
    <cellStyle name="表体文字居中(小) 2 2 2 2" xfId="6686"/>
    <cellStyle name="表体文字居中(小) 2 2 2 3" xfId="7117"/>
    <cellStyle name="表体文字居中(小) 2 2 2 4" xfId="32079"/>
    <cellStyle name="表体文字居中(小) 2 2 2 5" xfId="7197"/>
    <cellStyle name="表体文字居中(小) 2 2 2 6" xfId="4370"/>
    <cellStyle name="表体文字居中(小) 2 2 2 7" xfId="4374"/>
    <cellStyle name="表体文字居中(小) 2 2 2 8" xfId="32080"/>
    <cellStyle name="表体文字居中(小) 2 2 3" xfId="18367"/>
    <cellStyle name="表体文字居中(小) 2 2 3 2" xfId="25664"/>
    <cellStyle name="表体文字居中(小) 2 2 3 3" xfId="25668"/>
    <cellStyle name="表体文字居中(小) 2 2 3 4" xfId="25672"/>
    <cellStyle name="表体文字居中(小) 2 2 3 5" xfId="10476"/>
    <cellStyle name="表体文字居中(小) 2 2 3 6" xfId="4384"/>
    <cellStyle name="表体文字居中(小) 2 2 3 7" xfId="4394"/>
    <cellStyle name="表体文字居中(小) 2 2 3 8" xfId="10496"/>
    <cellStyle name="表体文字居中(小) 2 2 4" xfId="18370"/>
    <cellStyle name="表体文字居中(小) 2 2 5" xfId="18373"/>
    <cellStyle name="表体文字居中(小) 2 2 6" xfId="18376"/>
    <cellStyle name="表体文字居中(小) 2 2 7" xfId="18379"/>
    <cellStyle name="表体文字居中(小) 2 2 8" xfId="18382"/>
    <cellStyle name="表体文字居中(小) 2 2 9" xfId="18385"/>
    <cellStyle name="表体文字居中(小) 2 20" xfId="31922"/>
    <cellStyle name="表体文字居中(小) 2 20 10" xfId="31595"/>
    <cellStyle name="表体文字居中(小) 2 20 2" xfId="3359"/>
    <cellStyle name="表体文字居中(小) 2 20 2 2" xfId="31924"/>
    <cellStyle name="表体文字居中(小) 2 20 2 3" xfId="31926"/>
    <cellStyle name="表体文字居中(小) 2 20 2 4" xfId="31928"/>
    <cellStyle name="表体文字居中(小) 2 20 2 5" xfId="31930"/>
    <cellStyle name="表体文字居中(小) 2 20 2 6" xfId="31932"/>
    <cellStyle name="表体文字居中(小) 2 20 2 7" xfId="31934"/>
    <cellStyle name="表体文字居中(小) 2 20 2 8" xfId="31936"/>
    <cellStyle name="表体文字居中(小) 2 20 3" xfId="3364"/>
    <cellStyle name="表体文字居中(小) 2 20 3 2" xfId="31938"/>
    <cellStyle name="表体文字居中(小) 2 20 3 3" xfId="31940"/>
    <cellStyle name="表体文字居中(小) 2 20 3 4" xfId="31942"/>
    <cellStyle name="表体文字居中(小) 2 20 3 5" xfId="31944"/>
    <cellStyle name="表体文字居中(小) 2 20 3 6" xfId="31946"/>
    <cellStyle name="表体文字居中(小) 2 20 3 7" xfId="31948"/>
    <cellStyle name="表体文字居中(小) 2 20 3 8" xfId="31950"/>
    <cellStyle name="表体文字居中(小) 2 20 4" xfId="31952"/>
    <cellStyle name="表体文字居中(小) 2 20 5" xfId="29733"/>
    <cellStyle name="表体文字居中(小) 2 20 6" xfId="29736"/>
    <cellStyle name="表体文字居中(小) 2 20 7" xfId="29739"/>
    <cellStyle name="表体文字居中(小) 2 20 8" xfId="29742"/>
    <cellStyle name="表体文字居中(小) 2 20 9" xfId="29745"/>
    <cellStyle name="表体文字居中(小) 2 21" xfId="31954"/>
    <cellStyle name="表体文字居中(小) 2 21 10" xfId="28060"/>
    <cellStyle name="表体文字居中(小) 2 21 2" xfId="26426"/>
    <cellStyle name="表体文字居中(小) 2 21 2 2" xfId="31956"/>
    <cellStyle name="表体文字居中(小) 2 21 2 3" xfId="31958"/>
    <cellStyle name="表体文字居中(小) 2 21 2 4" xfId="31960"/>
    <cellStyle name="表体文字居中(小) 2 21 2 5" xfId="31962"/>
    <cellStyle name="表体文字居中(小) 2 21 2 6" xfId="31964"/>
    <cellStyle name="表体文字居中(小) 2 21 2 7" xfId="31966"/>
    <cellStyle name="表体文字居中(小) 2 21 2 8" xfId="31968"/>
    <cellStyle name="表体文字居中(小) 2 21 3" xfId="26430"/>
    <cellStyle name="表体文字居中(小) 2 21 3 2" xfId="31970"/>
    <cellStyle name="表体文字居中(小) 2 21 3 3" xfId="31972"/>
    <cellStyle name="表体文字居中(小) 2 21 3 4" xfId="31974"/>
    <cellStyle name="表体文字居中(小) 2 21 3 5" xfId="31976"/>
    <cellStyle name="表体文字居中(小) 2 21 3 6" xfId="31978"/>
    <cellStyle name="表体文字居中(小) 2 21 3 7" xfId="31980"/>
    <cellStyle name="表体文字居中(小) 2 21 3 8" xfId="31982"/>
    <cellStyle name="表体文字居中(小) 2 21 4" xfId="26728"/>
    <cellStyle name="表体文字居中(小) 2 21 5" xfId="29750"/>
    <cellStyle name="表体文字居中(小) 2 21 6" xfId="29753"/>
    <cellStyle name="表体文字居中(小) 2 21 7" xfId="6191"/>
    <cellStyle name="表体文字居中(小) 2 21 8" xfId="6195"/>
    <cellStyle name="表体文字居中(小) 2 21 9" xfId="29756"/>
    <cellStyle name="表体文字居中(小) 2 22" xfId="31984"/>
    <cellStyle name="表体文字居中(小) 2 22 10" xfId="31986"/>
    <cellStyle name="表体文字居中(小) 2 22 2" xfId="26490"/>
    <cellStyle name="表体文字居中(小) 2 22 2 2" xfId="31988"/>
    <cellStyle name="表体文字居中(小) 2 22 2 3" xfId="31990"/>
    <cellStyle name="表体文字居中(小) 2 22 2 4" xfId="31992"/>
    <cellStyle name="表体文字居中(小) 2 22 2 5" xfId="31994"/>
    <cellStyle name="表体文字居中(小) 2 22 2 6" xfId="31996"/>
    <cellStyle name="表体文字居中(小) 2 22 2 7" xfId="31998"/>
    <cellStyle name="表体文字居中(小) 2 22 2 8" xfId="32000"/>
    <cellStyle name="表体文字居中(小) 2 22 3" xfId="26494"/>
    <cellStyle name="表体文字居中(小) 2 22 3 2" xfId="32002"/>
    <cellStyle name="表体文字居中(小) 2 22 3 3" xfId="32004"/>
    <cellStyle name="表体文字居中(小) 2 22 3 4" xfId="32006"/>
    <cellStyle name="表体文字居中(小) 2 22 3 5" xfId="32008"/>
    <cellStyle name="表体文字居中(小) 2 22 3 6" xfId="32010"/>
    <cellStyle name="表体文字居中(小) 2 22 3 7" xfId="32012"/>
    <cellStyle name="表体文字居中(小) 2 22 3 8" xfId="32014"/>
    <cellStyle name="表体文字居中(小) 2 22 4" xfId="32016"/>
    <cellStyle name="表体文字居中(小) 2 22 5" xfId="32018"/>
    <cellStyle name="表体文字居中(小) 2 22 6" xfId="32020"/>
    <cellStyle name="表体文字居中(小) 2 22 7" xfId="734"/>
    <cellStyle name="表体文字居中(小) 2 22 8" xfId="743"/>
    <cellStyle name="表体文字居中(小) 2 22 9" xfId="754"/>
    <cellStyle name="表体文字居中(小) 2 23" xfId="32022"/>
    <cellStyle name="表体文字居中(小) 2 23 10" xfId="32024"/>
    <cellStyle name="表体文字居中(小) 2 23 2" xfId="26512"/>
    <cellStyle name="表体文字居中(小) 2 23 2 2" xfId="26054"/>
    <cellStyle name="表体文字居中(小) 2 23 2 3" xfId="7321"/>
    <cellStyle name="表体文字居中(小) 2 23 2 4" xfId="7329"/>
    <cellStyle name="表体文字居中(小) 2 23 2 5" xfId="7337"/>
    <cellStyle name="表体文字居中(小) 2 23 2 6" xfId="7341"/>
    <cellStyle name="表体文字居中(小) 2 23 2 7" xfId="3485"/>
    <cellStyle name="表体文字居中(小) 2 23 2 8" xfId="3492"/>
    <cellStyle name="表体文字居中(小) 2 23 3" xfId="26516"/>
    <cellStyle name="表体文字居中(小) 2 23 3 2" xfId="26097"/>
    <cellStyle name="表体文字居中(小) 2 23 3 3" xfId="4901"/>
    <cellStyle name="表体文字居中(小) 2 23 3 4" xfId="6995"/>
    <cellStyle name="表体文字居中(小) 2 23 3 5" xfId="7006"/>
    <cellStyle name="表体文字居中(小) 2 23 3 6" xfId="7015"/>
    <cellStyle name="表体文字居中(小) 2 23 3 7" xfId="3553"/>
    <cellStyle name="表体文字居中(小) 2 23 3 8" xfId="3564"/>
    <cellStyle name="表体文字居中(小) 2 23 4" xfId="32026"/>
    <cellStyle name="表体文字居中(小) 2 23 5" xfId="32028"/>
    <cellStyle name="表体文字居中(小) 2 23 6" xfId="32030"/>
    <cellStyle name="表体文字居中(小) 2 23 7" xfId="6202"/>
    <cellStyle name="表体文字居中(小) 2 23 8" xfId="6205"/>
    <cellStyle name="表体文字居中(小) 2 23 9" xfId="32032"/>
    <cellStyle name="表体文字居中(小) 2 24" xfId="32034"/>
    <cellStyle name="表体文字居中(小) 2 24 10" xfId="32036"/>
    <cellStyle name="表体文字居中(小) 2 24 2" xfId="26581"/>
    <cellStyle name="表体文字居中(小) 2 24 2 2" xfId="32038"/>
    <cellStyle name="表体文字居中(小) 2 24 2 3" xfId="32040"/>
    <cellStyle name="表体文字居中(小) 2 24 2 4" xfId="32042"/>
    <cellStyle name="表体文字居中(小) 2 24 2 5" xfId="32046"/>
    <cellStyle name="表体文字居中(小) 2 24 2 6" xfId="32050"/>
    <cellStyle name="表体文字居中(小) 2 24 2 7" xfId="32054"/>
    <cellStyle name="表体文字居中(小) 2 24 2 8" xfId="32058"/>
    <cellStyle name="表体文字居中(小) 2 24 3" xfId="21957"/>
    <cellStyle name="表体文字居中(小) 2 24 3 2" xfId="32062"/>
    <cellStyle name="表体文字居中(小) 2 24 3 3" xfId="32064"/>
    <cellStyle name="表体文字居中(小) 2 24 3 4" xfId="32066"/>
    <cellStyle name="表体文字居中(小) 2 24 3 5" xfId="32070"/>
    <cellStyle name="表体文字居中(小) 2 24 3 6" xfId="32074"/>
    <cellStyle name="表体文字居中(小) 2 24 3 7" xfId="12129"/>
    <cellStyle name="表体文字居中(小) 2 24 3 8" xfId="12134"/>
    <cellStyle name="表体文字居中(小) 2 24 4" xfId="21961"/>
    <cellStyle name="表体文字居中(小) 2 24 5" xfId="21965"/>
    <cellStyle name="表体文字居中(小) 2 24 6" xfId="21969"/>
    <cellStyle name="表体文字居中(小) 2 24 7" xfId="3411"/>
    <cellStyle name="表体文字居中(小) 2 24 8" xfId="3418"/>
    <cellStyle name="表体文字居中(小) 2 24 9" xfId="21974"/>
    <cellStyle name="表体文字居中(小) 2 25" xfId="3849"/>
    <cellStyle name="表体文字居中(小) 2 25 10" xfId="32081"/>
    <cellStyle name="表体文字居中(小) 2 25 2" xfId="3865"/>
    <cellStyle name="表体文字居中(小) 2 25 2 2" xfId="32083"/>
    <cellStyle name="表体文字居中(小) 2 25 2 3" xfId="32085"/>
    <cellStyle name="表体文字居中(小) 2 25 2 4" xfId="32087"/>
    <cellStyle name="表体文字居中(小) 2 25 2 5" xfId="6588"/>
    <cellStyle name="表体文字居中(小) 2 25 2 6" xfId="6591"/>
    <cellStyle name="表体文字居中(小) 2 25 2 7" xfId="32089"/>
    <cellStyle name="表体文字居中(小) 2 25 2 8" xfId="32091"/>
    <cellStyle name="表体文字居中(小) 2 25 3" xfId="3880"/>
    <cellStyle name="表体文字居中(小) 2 25 3 2" xfId="32093"/>
    <cellStyle name="表体文字居中(小) 2 25 3 3" xfId="32095"/>
    <cellStyle name="表体文字居中(小) 2 25 3 4" xfId="32097"/>
    <cellStyle name="表体文字居中(小) 2 25 3 5" xfId="6594"/>
    <cellStyle name="表体文字居中(小) 2 25 3 6" xfId="6597"/>
    <cellStyle name="表体文字居中(小) 2 25 3 7" xfId="32099"/>
    <cellStyle name="表体文字居中(小) 2 25 3 8" xfId="32101"/>
    <cellStyle name="表体文字居中(小) 2 25 4" xfId="21983"/>
    <cellStyle name="表体文字居中(小) 2 25 5" xfId="21991"/>
    <cellStyle name="表体文字居中(小) 2 25 6" xfId="21999"/>
    <cellStyle name="表体文字居中(小) 2 25 7" xfId="6212"/>
    <cellStyle name="表体文字居中(小) 2 25 8" xfId="6220"/>
    <cellStyle name="表体文字居中(小) 2 25 9" xfId="22004"/>
    <cellStyle name="表体文字居中(小) 2 26" xfId="22441"/>
    <cellStyle name="表体文字居中(小) 2 26 10" xfId="6955"/>
    <cellStyle name="表体文字居中(小) 2 26 2" xfId="24028"/>
    <cellStyle name="表体文字居中(小) 2 26 2 2" xfId="32103"/>
    <cellStyle name="表体文字居中(小) 2 26 2 3" xfId="32105"/>
    <cellStyle name="表体文字居中(小) 2 26 2 4" xfId="32107"/>
    <cellStyle name="表体文字居中(小) 2 26 2 5" xfId="6625"/>
    <cellStyle name="表体文字居中(小) 2 26 2 6" xfId="6628"/>
    <cellStyle name="表体文字居中(小) 2 26 2 7" xfId="32109"/>
    <cellStyle name="表体文字居中(小) 2 26 2 8" xfId="32111"/>
    <cellStyle name="表体文字居中(小) 2 26 3" xfId="24034"/>
    <cellStyle name="表体文字居中(小) 2 26 3 2" xfId="32113"/>
    <cellStyle name="表体文字居中(小) 2 26 3 3" xfId="32115"/>
    <cellStyle name="表体文字居中(小) 2 26 3 4" xfId="32117"/>
    <cellStyle name="表体文字居中(小) 2 26 3 5" xfId="4680"/>
    <cellStyle name="表体文字居中(小) 2 26 3 6" xfId="4742"/>
    <cellStyle name="表体文字居中(小) 2 26 3 7" xfId="32119"/>
    <cellStyle name="表体文字居中(小) 2 26 3 8" xfId="1379"/>
    <cellStyle name="表体文字居中(小) 2 26 4" xfId="24039"/>
    <cellStyle name="表体文字居中(小) 2 26 5" xfId="24043"/>
    <cellStyle name="表体文字居中(小) 2 26 6" xfId="24047"/>
    <cellStyle name="表体文字居中(小) 2 26 7" xfId="6223"/>
    <cellStyle name="表体文字居中(小) 2 26 8" xfId="6226"/>
    <cellStyle name="表体文字居中(小) 2 26 9" xfId="32121"/>
    <cellStyle name="表体文字居中(小) 2 27" xfId="22444"/>
    <cellStyle name="表体文字居中(小) 2 27 10" xfId="30186"/>
    <cellStyle name="表体文字居中(小) 2 27 2" xfId="26628"/>
    <cellStyle name="表体文字居中(小) 2 27 2 2" xfId="32123"/>
    <cellStyle name="表体文字居中(小) 2 27 2 3" xfId="32125"/>
    <cellStyle name="表体文字居中(小) 2 27 2 4" xfId="32127"/>
    <cellStyle name="表体文字居中(小) 2 27 2 5" xfId="32129"/>
    <cellStyle name="表体文字居中(小) 2 27 2 6" xfId="32131"/>
    <cellStyle name="表体文字居中(小) 2 27 2 7" xfId="32133"/>
    <cellStyle name="表体文字居中(小) 2 27 2 8" xfId="32135"/>
    <cellStyle name="表体文字居中(小) 2 27 3" xfId="26632"/>
    <cellStyle name="表体文字居中(小) 2 27 3 2" xfId="32137"/>
    <cellStyle name="表体文字居中(小) 2 27 3 3" xfId="32139"/>
    <cellStyle name="表体文字居中(小) 2 27 3 4" xfId="32141"/>
    <cellStyle name="表体文字居中(小) 2 27 3 5" xfId="32143"/>
    <cellStyle name="表体文字居中(小) 2 27 3 6" xfId="32145"/>
    <cellStyle name="表体文字居中(小) 2 27 3 7" xfId="32147"/>
    <cellStyle name="表体文字居中(小) 2 27 3 8" xfId="32149"/>
    <cellStyle name="表体文字居中(小) 2 27 4" xfId="32151"/>
    <cellStyle name="表体文字居中(小) 2 27 5" xfId="32153"/>
    <cellStyle name="表体文字居中(小) 2 27 6" xfId="32155"/>
    <cellStyle name="表体文字居中(小) 2 27 7" xfId="6229"/>
    <cellStyle name="表体文字居中(小) 2 27 8" xfId="6232"/>
    <cellStyle name="表体文字居中(小) 2 27 9" xfId="32157"/>
    <cellStyle name="表体文字居中(小) 2 28" xfId="22447"/>
    <cellStyle name="表体文字居中(小) 2 28 10" xfId="30384"/>
    <cellStyle name="表体文字居中(小) 2 28 2" xfId="26650"/>
    <cellStyle name="表体文字居中(小) 2 28 2 2" xfId="27255"/>
    <cellStyle name="表体文字居中(小) 2 28 2 3" xfId="27281"/>
    <cellStyle name="表体文字居中(小) 2 28 2 4" xfId="27291"/>
    <cellStyle name="表体文字居中(小) 2 28 2 5" xfId="27295"/>
    <cellStyle name="表体文字居中(小) 2 28 2 6" xfId="27301"/>
    <cellStyle name="表体文字居中(小) 2 28 2 7" xfId="27325"/>
    <cellStyle name="表体文字居中(小) 2 28 2 8" xfId="27335"/>
    <cellStyle name="表体文字居中(小) 2 28 3" xfId="13001"/>
    <cellStyle name="表体文字居中(小) 2 28 3 2" xfId="6921"/>
    <cellStyle name="表体文字居中(小) 2 28 3 3" xfId="6516"/>
    <cellStyle name="表体文字居中(小) 2 28 3 4" xfId="6520"/>
    <cellStyle name="表体文字居中(小) 2 28 3 5" xfId="6924"/>
    <cellStyle name="表体文字居中(小) 2 28 3 6" xfId="32159"/>
    <cellStyle name="表体文字居中(小) 2 28 3 7" xfId="32161"/>
    <cellStyle name="表体文字居中(小) 2 28 3 8" xfId="32163"/>
    <cellStyle name="表体文字居中(小) 2 28 4" xfId="13004"/>
    <cellStyle name="表体文字居中(小) 2 28 5" xfId="13007"/>
    <cellStyle name="表体文字居中(小) 2 28 6" xfId="13010"/>
    <cellStyle name="表体文字居中(小) 2 28 7" xfId="6238"/>
    <cellStyle name="表体文字居中(小) 2 28 8" xfId="6244"/>
    <cellStyle name="表体文字居中(小) 2 28 9" xfId="13014"/>
    <cellStyle name="表体文字居中(小) 2 29" xfId="22450"/>
    <cellStyle name="表体文字居中(小) 2 29 10" xfId="30516"/>
    <cellStyle name="表体文字居中(小) 2 29 2" xfId="26679"/>
    <cellStyle name="表体文字居中(小) 2 29 2 2" xfId="5048"/>
    <cellStyle name="表体文字居中(小) 2 29 2 3" xfId="5909"/>
    <cellStyle name="表体文字居中(小) 2 29 2 4" xfId="5912"/>
    <cellStyle name="表体文字居中(小) 2 29 2 5" xfId="5915"/>
    <cellStyle name="表体文字居中(小) 2 29 2 6" xfId="5918"/>
    <cellStyle name="表体文字居中(小) 2 29 2 7" xfId="32165"/>
    <cellStyle name="表体文字居中(小) 2 29 2 8" xfId="32167"/>
    <cellStyle name="表体文字居中(小) 2 29 3" xfId="13021"/>
    <cellStyle name="表体文字居中(小) 2 29 3 2" xfId="32169"/>
    <cellStyle name="表体文字居中(小) 2 29 3 3" xfId="32171"/>
    <cellStyle name="表体文字居中(小) 2 29 3 4" xfId="32173"/>
    <cellStyle name="表体文字居中(小) 2 29 3 5" xfId="32175"/>
    <cellStyle name="表体文字居中(小) 2 29 3 6" xfId="32177"/>
    <cellStyle name="表体文字居中(小) 2 29 3 7" xfId="32179"/>
    <cellStyle name="表体文字居中(小) 2 29 3 8" xfId="32181"/>
    <cellStyle name="表体文字居中(小) 2 29 4" xfId="13024"/>
    <cellStyle name="表体文字居中(小) 2 29 5" xfId="13027"/>
    <cellStyle name="表体文字居中(小) 2 29 6" xfId="13030"/>
    <cellStyle name="表体文字居中(小) 2 29 7" xfId="3446"/>
    <cellStyle name="表体文字居中(小) 2 29 8" xfId="3451"/>
    <cellStyle name="表体文字居中(小) 2 29 9" xfId="13034"/>
    <cellStyle name="表体文字居中(小) 2 3" xfId="32183"/>
    <cellStyle name="表体文字居中(小) 2 3 10" xfId="29443"/>
    <cellStyle name="表体文字居中(小) 2 3 2" xfId="32184"/>
    <cellStyle name="表体文字居中(小) 2 3 2 2" xfId="25040"/>
    <cellStyle name="表体文字居中(小) 2 3 2 3" xfId="32185"/>
    <cellStyle name="表体文字居中(小) 2 3 2 4" xfId="32186"/>
    <cellStyle name="表体文字居中(小) 2 3 2 5" xfId="7343"/>
    <cellStyle name="表体文字居中(小) 2 3 2 6" xfId="211"/>
    <cellStyle name="表体文字居中(小) 2 3 2 7" xfId="214"/>
    <cellStyle name="表体文字居中(小) 2 3 2 8" xfId="32187"/>
    <cellStyle name="表体文字居中(小) 2 3 3" xfId="18390"/>
    <cellStyle name="表体文字居中(小) 2 3 3 2" xfId="25698"/>
    <cellStyle name="表体文字居中(小) 2 3 3 3" xfId="25703"/>
    <cellStyle name="表体文字居中(小) 2 3 3 4" xfId="25708"/>
    <cellStyle name="表体文字居中(小) 2 3 3 5" xfId="11074"/>
    <cellStyle name="表体文字居中(小) 2 3 3 6" xfId="4435"/>
    <cellStyle name="表体文字居中(小) 2 3 3 7" xfId="4442"/>
    <cellStyle name="表体文字居中(小) 2 3 3 8" xfId="11090"/>
    <cellStyle name="表体文字居中(小) 2 3 4" xfId="18393"/>
    <cellStyle name="表体文字居中(小) 2 3 5" xfId="18396"/>
    <cellStyle name="表体文字居中(小) 2 3 6" xfId="18399"/>
    <cellStyle name="表体文字居中(小) 2 3 7" xfId="18402"/>
    <cellStyle name="表体文字居中(小) 2 3 8" xfId="18405"/>
    <cellStyle name="表体文字居中(小) 2 3 9" xfId="18408"/>
    <cellStyle name="表体文字居中(小) 2 30" xfId="3848"/>
    <cellStyle name="表体文字居中(小) 2 30 10" xfId="32082"/>
    <cellStyle name="表体文字居中(小) 2 30 2" xfId="3864"/>
    <cellStyle name="表体文字居中(小) 2 30 2 2" xfId="32084"/>
    <cellStyle name="表体文字居中(小) 2 30 2 3" xfId="32086"/>
    <cellStyle name="表体文字居中(小) 2 30 2 4" xfId="32088"/>
    <cellStyle name="表体文字居中(小) 2 30 2 5" xfId="6589"/>
    <cellStyle name="表体文字居中(小) 2 30 2 6" xfId="6592"/>
    <cellStyle name="表体文字居中(小) 2 30 2 7" xfId="32090"/>
    <cellStyle name="表体文字居中(小) 2 30 2 8" xfId="32092"/>
    <cellStyle name="表体文字居中(小) 2 30 3" xfId="3879"/>
    <cellStyle name="表体文字居中(小) 2 30 3 2" xfId="32094"/>
    <cellStyle name="表体文字居中(小) 2 30 3 3" xfId="32096"/>
    <cellStyle name="表体文字居中(小) 2 30 3 4" xfId="32098"/>
    <cellStyle name="表体文字居中(小) 2 30 3 5" xfId="6595"/>
    <cellStyle name="表体文字居中(小) 2 30 3 6" xfId="6598"/>
    <cellStyle name="表体文字居中(小) 2 30 3 7" xfId="32100"/>
    <cellStyle name="表体文字居中(小) 2 30 3 8" xfId="32102"/>
    <cellStyle name="表体文字居中(小) 2 30 4" xfId="21984"/>
    <cellStyle name="表体文字居中(小) 2 30 5" xfId="21992"/>
    <cellStyle name="表体文字居中(小) 2 30 6" xfId="22000"/>
    <cellStyle name="表体文字居中(小) 2 30 7" xfId="6213"/>
    <cellStyle name="表体文字居中(小) 2 30 8" xfId="6221"/>
    <cellStyle name="表体文字居中(小) 2 30 9" xfId="22005"/>
    <cellStyle name="表体文字居中(小) 2 31" xfId="22442"/>
    <cellStyle name="表体文字居中(小) 2 31 10" xfId="6956"/>
    <cellStyle name="表体文字居中(小) 2 31 2" xfId="24029"/>
    <cellStyle name="表体文字居中(小) 2 31 2 2" xfId="32104"/>
    <cellStyle name="表体文字居中(小) 2 31 2 3" xfId="32106"/>
    <cellStyle name="表体文字居中(小) 2 31 2 4" xfId="32108"/>
    <cellStyle name="表体文字居中(小) 2 31 2 5" xfId="6626"/>
    <cellStyle name="表体文字居中(小) 2 31 2 6" xfId="6629"/>
    <cellStyle name="表体文字居中(小) 2 31 2 7" xfId="32110"/>
    <cellStyle name="表体文字居中(小) 2 31 2 8" xfId="32112"/>
    <cellStyle name="表体文字居中(小) 2 31 3" xfId="24035"/>
    <cellStyle name="表体文字居中(小) 2 31 3 2" xfId="32114"/>
    <cellStyle name="表体文字居中(小) 2 31 3 3" xfId="32116"/>
    <cellStyle name="表体文字居中(小) 2 31 3 4" xfId="32118"/>
    <cellStyle name="表体文字居中(小) 2 31 3 5" xfId="4681"/>
    <cellStyle name="表体文字居中(小) 2 31 3 6" xfId="4743"/>
    <cellStyle name="表体文字居中(小) 2 31 3 7" xfId="32120"/>
    <cellStyle name="表体文字居中(小) 2 31 3 8" xfId="1378"/>
    <cellStyle name="表体文字居中(小) 2 31 4" xfId="24040"/>
    <cellStyle name="表体文字居中(小) 2 31 5" xfId="24044"/>
    <cellStyle name="表体文字居中(小) 2 31 6" xfId="24048"/>
    <cellStyle name="表体文字居中(小) 2 31 7" xfId="6224"/>
    <cellStyle name="表体文字居中(小) 2 31 8" xfId="6227"/>
    <cellStyle name="表体文字居中(小) 2 31 9" xfId="32122"/>
    <cellStyle name="表体文字居中(小) 2 32" xfId="22445"/>
    <cellStyle name="表体文字居中(小) 2 32 10" xfId="30187"/>
    <cellStyle name="表体文字居中(小) 2 32 2" xfId="26629"/>
    <cellStyle name="表体文字居中(小) 2 32 2 2" xfId="32124"/>
    <cellStyle name="表体文字居中(小) 2 32 2 3" xfId="32126"/>
    <cellStyle name="表体文字居中(小) 2 32 2 4" xfId="32128"/>
    <cellStyle name="表体文字居中(小) 2 32 2 5" xfId="32130"/>
    <cellStyle name="表体文字居中(小) 2 32 2 6" xfId="32132"/>
    <cellStyle name="表体文字居中(小) 2 32 2 7" xfId="32134"/>
    <cellStyle name="表体文字居中(小) 2 32 2 8" xfId="32136"/>
    <cellStyle name="表体文字居中(小) 2 32 3" xfId="26633"/>
    <cellStyle name="表体文字居中(小) 2 32 3 2" xfId="32138"/>
    <cellStyle name="表体文字居中(小) 2 32 3 3" xfId="32140"/>
    <cellStyle name="表体文字居中(小) 2 32 3 4" xfId="32142"/>
    <cellStyle name="表体文字居中(小) 2 32 3 5" xfId="32144"/>
    <cellStyle name="表体文字居中(小) 2 32 3 6" xfId="32146"/>
    <cellStyle name="表体文字居中(小) 2 32 3 7" xfId="32148"/>
    <cellStyle name="表体文字居中(小) 2 32 3 8" xfId="32150"/>
    <cellStyle name="表体文字居中(小) 2 32 4" xfId="32152"/>
    <cellStyle name="表体文字居中(小) 2 32 5" xfId="32154"/>
    <cellStyle name="表体文字居中(小) 2 32 6" xfId="32156"/>
    <cellStyle name="表体文字居中(小) 2 32 7" xfId="6230"/>
    <cellStyle name="表体文字居中(小) 2 32 8" xfId="6233"/>
    <cellStyle name="表体文字居中(小) 2 32 9" xfId="32158"/>
    <cellStyle name="表体文字居中(小) 2 33" xfId="22448"/>
    <cellStyle name="表体文字居中(小) 2 33 10" xfId="30385"/>
    <cellStyle name="表体文字居中(小) 2 33 2" xfId="26651"/>
    <cellStyle name="表体文字居中(小) 2 33 2 2" xfId="27256"/>
    <cellStyle name="表体文字居中(小) 2 33 2 3" xfId="27282"/>
    <cellStyle name="表体文字居中(小) 2 33 2 4" xfId="27292"/>
    <cellStyle name="表体文字居中(小) 2 33 2 5" xfId="27296"/>
    <cellStyle name="表体文字居中(小) 2 33 2 6" xfId="27302"/>
    <cellStyle name="表体文字居中(小) 2 33 2 7" xfId="27326"/>
    <cellStyle name="表体文字居中(小) 2 33 2 8" xfId="27336"/>
    <cellStyle name="表体文字居中(小) 2 33 3" xfId="13002"/>
    <cellStyle name="表体文字居中(小) 2 33 3 2" xfId="6922"/>
    <cellStyle name="表体文字居中(小) 2 33 3 3" xfId="6517"/>
    <cellStyle name="表体文字居中(小) 2 33 3 4" xfId="6521"/>
    <cellStyle name="表体文字居中(小) 2 33 3 5" xfId="6925"/>
    <cellStyle name="表体文字居中(小) 2 33 3 6" xfId="32160"/>
    <cellStyle name="表体文字居中(小) 2 33 3 7" xfId="32162"/>
    <cellStyle name="表体文字居中(小) 2 33 3 8" xfId="32164"/>
    <cellStyle name="表体文字居中(小) 2 33 4" xfId="13005"/>
    <cellStyle name="表体文字居中(小) 2 33 5" xfId="13008"/>
    <cellStyle name="表体文字居中(小) 2 33 6" xfId="13011"/>
    <cellStyle name="表体文字居中(小) 2 33 7" xfId="6239"/>
    <cellStyle name="表体文字居中(小) 2 33 8" xfId="6245"/>
    <cellStyle name="表体文字居中(小) 2 33 9" xfId="13015"/>
    <cellStyle name="表体文字居中(小) 2 34" xfId="22451"/>
    <cellStyle name="表体文字居中(小) 2 34 10" xfId="30517"/>
    <cellStyle name="表体文字居中(小) 2 34 2" xfId="26680"/>
    <cellStyle name="表体文字居中(小) 2 34 2 2" xfId="5049"/>
    <cellStyle name="表体文字居中(小) 2 34 2 3" xfId="5910"/>
    <cellStyle name="表体文字居中(小) 2 34 2 4" xfId="5913"/>
    <cellStyle name="表体文字居中(小) 2 34 2 5" xfId="5916"/>
    <cellStyle name="表体文字居中(小) 2 34 2 6" xfId="5919"/>
    <cellStyle name="表体文字居中(小) 2 34 2 7" xfId="32166"/>
    <cellStyle name="表体文字居中(小) 2 34 2 8" xfId="32168"/>
    <cellStyle name="表体文字居中(小) 2 34 3" xfId="13022"/>
    <cellStyle name="表体文字居中(小) 2 34 3 2" xfId="32170"/>
    <cellStyle name="表体文字居中(小) 2 34 3 3" xfId="32172"/>
    <cellStyle name="表体文字居中(小) 2 34 3 4" xfId="32174"/>
    <cellStyle name="表体文字居中(小) 2 34 3 5" xfId="32176"/>
    <cellStyle name="表体文字居中(小) 2 34 3 6" xfId="32178"/>
    <cellStyle name="表体文字居中(小) 2 34 3 7" xfId="32180"/>
    <cellStyle name="表体文字居中(小) 2 34 3 8" xfId="32182"/>
    <cellStyle name="表体文字居中(小) 2 34 4" xfId="13025"/>
    <cellStyle name="表体文字居中(小) 2 34 5" xfId="13028"/>
    <cellStyle name="表体文字居中(小) 2 34 6" xfId="13031"/>
    <cellStyle name="表体文字居中(小) 2 34 7" xfId="3445"/>
    <cellStyle name="表体文字居中(小) 2 34 8" xfId="3450"/>
    <cellStyle name="表体文字居中(小) 2 34 9" xfId="13035"/>
    <cellStyle name="表体文字居中(小) 2 35" xfId="3930"/>
    <cellStyle name="表体文字居中(小) 2 35 10" xfId="12322"/>
    <cellStyle name="表体文字居中(小) 2 35 2" xfId="3935"/>
    <cellStyle name="表体文字居中(小) 2 35 2 2" xfId="450"/>
    <cellStyle name="表体文字居中(小) 2 35 2 3" xfId="497"/>
    <cellStyle name="表体文字居中(小) 2 35 2 4" xfId="1090"/>
    <cellStyle name="表体文字居中(小) 2 35 2 5" xfId="730"/>
    <cellStyle name="表体文字居中(小) 2 35 2 6" xfId="739"/>
    <cellStyle name="表体文字居中(小) 2 35 2 7" xfId="749"/>
    <cellStyle name="表体文字居中(小) 2 35 2 8" xfId="759"/>
    <cellStyle name="表体文字居中(小) 2 35 3" xfId="3944"/>
    <cellStyle name="表体文字居中(小) 2 35 3 2" xfId="8058"/>
    <cellStyle name="表体文字居中(小) 2 35 3 3" xfId="8071"/>
    <cellStyle name="表体文字居中(小) 2 35 3 4" xfId="8083"/>
    <cellStyle name="表体文字居中(小) 2 35 3 5" xfId="8087"/>
    <cellStyle name="表体文字居中(小) 2 35 3 6" xfId="32188"/>
    <cellStyle name="表体文字居中(小) 2 35 3 7" xfId="32190"/>
    <cellStyle name="表体文字居中(小) 2 35 3 8" xfId="32192"/>
    <cellStyle name="表体文字居中(小) 2 35 4" xfId="5098"/>
    <cellStyle name="表体文字居中(小) 2 35 5" xfId="5104"/>
    <cellStyle name="表体文字居中(小) 2 35 6" xfId="5110"/>
    <cellStyle name="表体文字居中(小) 2 35 7" xfId="3458"/>
    <cellStyle name="表体文字居中(小) 2 35 8" xfId="3464"/>
    <cellStyle name="表体文字居中(小) 2 35 9" xfId="3107"/>
    <cellStyle name="表体文字居中(小) 2 36" xfId="3952"/>
    <cellStyle name="表体文字居中(小) 2 36 10" xfId="28158"/>
    <cellStyle name="表体文字居中(小) 2 36 2" xfId="3957"/>
    <cellStyle name="表体文字居中(小) 2 36 2 2" xfId="32194"/>
    <cellStyle name="表体文字居中(小) 2 36 2 3" xfId="32196"/>
    <cellStyle name="表体文字居中(小) 2 36 2 4" xfId="32198"/>
    <cellStyle name="表体文字居中(小) 2 36 2 5" xfId="32200"/>
    <cellStyle name="表体文字居中(小) 2 36 2 6" xfId="32202"/>
    <cellStyle name="表体文字居中(小) 2 36 2 7" xfId="32204"/>
    <cellStyle name="表体文字居中(小) 2 36 2 8" xfId="32206"/>
    <cellStyle name="表体文字居中(小) 2 36 3" xfId="3964"/>
    <cellStyle name="表体文字居中(小) 2 36 3 2" xfId="32208"/>
    <cellStyle name="表体文字居中(小) 2 36 3 3" xfId="32210"/>
    <cellStyle name="表体文字居中(小) 2 36 3 4" xfId="32212"/>
    <cellStyle name="表体文字居中(小) 2 36 3 5" xfId="32214"/>
    <cellStyle name="表体文字居中(小) 2 36 3 6" xfId="32216"/>
    <cellStyle name="表体文字居中(小) 2 36 3 7" xfId="32218"/>
    <cellStyle name="表体文字居中(小) 2 36 3 8" xfId="32220"/>
    <cellStyle name="表体文字居中(小) 2 36 4" xfId="5132"/>
    <cellStyle name="表体文字居中(小) 2 36 5" xfId="5138"/>
    <cellStyle name="表体文字居中(小) 2 36 6" xfId="5144"/>
    <cellStyle name="表体文字居中(小) 2 36 7" xfId="5149"/>
    <cellStyle name="表体文字居中(小) 2 36 8" xfId="5154"/>
    <cellStyle name="表体文字居中(小) 2 36 9" xfId="3121"/>
    <cellStyle name="表体文字居中(小) 2 37" xfId="32222"/>
    <cellStyle name="表体文字居中(小) 2 37 10" xfId="30982"/>
    <cellStyle name="表体文字居中(小) 2 37 2" xfId="32224"/>
    <cellStyle name="表体文字居中(小) 2 37 2 2" xfId="32226"/>
    <cellStyle name="表体文字居中(小) 2 37 2 3" xfId="32228"/>
    <cellStyle name="表体文字居中(小) 2 37 2 4" xfId="32230"/>
    <cellStyle name="表体文字居中(小) 2 37 2 5" xfId="32232"/>
    <cellStyle name="表体文字居中(小) 2 37 2 6" xfId="32234"/>
    <cellStyle name="表体文字居中(小) 2 37 2 7" xfId="32236"/>
    <cellStyle name="表体文字居中(小) 2 37 2 8" xfId="32238"/>
    <cellStyle name="表体文字居中(小) 2 37 3" xfId="32240"/>
    <cellStyle name="表体文字居中(小) 2 37 3 2" xfId="32242"/>
    <cellStyle name="表体文字居中(小) 2 37 3 3" xfId="32244"/>
    <cellStyle name="表体文字居中(小) 2 37 3 4" xfId="32246"/>
    <cellStyle name="表体文字居中(小) 2 37 3 5" xfId="32248"/>
    <cellStyle name="表体文字居中(小) 2 37 3 6" xfId="32250"/>
    <cellStyle name="表体文字居中(小) 2 37 3 7" xfId="32252"/>
    <cellStyle name="表体文字居中(小) 2 37 3 8" xfId="32254"/>
    <cellStyle name="表体文字居中(小) 2 37 4" xfId="32256"/>
    <cellStyle name="表体文字居中(小) 2 37 5" xfId="32258"/>
    <cellStyle name="表体文字居中(小) 2 37 6" xfId="32260"/>
    <cellStyle name="表体文字居中(小) 2 37 7" xfId="32262"/>
    <cellStyle name="表体文字居中(小) 2 37 8" xfId="32264"/>
    <cellStyle name="表体文字居中(小) 2 37 9" xfId="32266"/>
    <cellStyle name="表体文字居中(小) 2 38" xfId="21521"/>
    <cellStyle name="表体文字居中(小) 2 38 10" xfId="32268"/>
    <cellStyle name="表体文字居中(小) 2 38 2" xfId="32270"/>
    <cellStyle name="表体文字居中(小) 2 38 2 2" xfId="27832"/>
    <cellStyle name="表体文字居中(小) 2 38 2 3" xfId="32272"/>
    <cellStyle name="表体文字居中(小) 2 38 2 4" xfId="32274"/>
    <cellStyle name="表体文字居中(小) 2 38 2 5" xfId="32276"/>
    <cellStyle name="表体文字居中(小) 2 38 2 6" xfId="32278"/>
    <cellStyle name="表体文字居中(小) 2 38 2 7" xfId="32280"/>
    <cellStyle name="表体文字居中(小) 2 38 2 8" xfId="32282"/>
    <cellStyle name="表体文字居中(小) 2 38 3" xfId="32284"/>
    <cellStyle name="表体文字居中(小) 2 38 3 2" xfId="27855"/>
    <cellStyle name="表体文字居中(小) 2 38 3 3" xfId="32286"/>
    <cellStyle name="表体文字居中(小) 2 38 3 4" xfId="32288"/>
    <cellStyle name="表体文字居中(小) 2 38 3 5" xfId="32290"/>
    <cellStyle name="表体文字居中(小) 2 38 3 6" xfId="32292"/>
    <cellStyle name="表体文字居中(小) 2 38 3 7" xfId="32294"/>
    <cellStyle name="表体文字居中(小) 2 38 3 8" xfId="32296"/>
    <cellStyle name="表体文字居中(小) 2 38 4" xfId="5168"/>
    <cellStyle name="表体文字居中(小) 2 38 5" xfId="5171"/>
    <cellStyle name="表体文字居中(小) 2 38 6" xfId="32298"/>
    <cellStyle name="表体文字居中(小) 2 38 7" xfId="32300"/>
    <cellStyle name="表体文字居中(小) 2 38 8" xfId="32302"/>
    <cellStyle name="表体文字居中(小) 2 38 9" xfId="32304"/>
    <cellStyle name="表体文字居中(小) 2 39" xfId="27585"/>
    <cellStyle name="表体文字居中(小) 2 39 10" xfId="32306"/>
    <cellStyle name="表体文字居中(小) 2 39 2" xfId="32308"/>
    <cellStyle name="表体文字居中(小) 2 39 2 2" xfId="28823"/>
    <cellStyle name="表体文字居中(小) 2 39 2 3" xfId="32310"/>
    <cellStyle name="表体文字居中(小) 2 39 2 4" xfId="32312"/>
    <cellStyle name="表体文字居中(小) 2 39 2 5" xfId="32314"/>
    <cellStyle name="表体文字居中(小) 2 39 2 6" xfId="32316"/>
    <cellStyle name="表体文字居中(小) 2 39 2 7" xfId="32318"/>
    <cellStyle name="表体文字居中(小) 2 39 2 8" xfId="32320"/>
    <cellStyle name="表体文字居中(小) 2 39 3" xfId="32322"/>
    <cellStyle name="表体文字居中(小) 2 39 3 2" xfId="28862"/>
    <cellStyle name="表体文字居中(小) 2 39 3 3" xfId="32324"/>
    <cellStyle name="表体文字居中(小) 2 39 3 4" xfId="32326"/>
    <cellStyle name="表体文字居中(小) 2 39 3 5" xfId="32328"/>
    <cellStyle name="表体文字居中(小) 2 39 3 6" xfId="32330"/>
    <cellStyle name="表体文字居中(小) 2 39 3 7" xfId="32332"/>
    <cellStyle name="表体文字居中(小) 2 39 3 8" xfId="32334"/>
    <cellStyle name="表体文字居中(小) 2 39 4" xfId="5177"/>
    <cellStyle name="表体文字居中(小) 2 39 5" xfId="5180"/>
    <cellStyle name="表体文字居中(小) 2 39 6" xfId="32336"/>
    <cellStyle name="表体文字居中(小) 2 39 7" xfId="32338"/>
    <cellStyle name="表体文字居中(小) 2 39 8" xfId="32340"/>
    <cellStyle name="表体文字居中(小) 2 39 9" xfId="32342"/>
    <cellStyle name="表体文字居中(小) 2 4" xfId="4389"/>
    <cellStyle name="表体文字居中(小) 2 4 10" xfId="29654"/>
    <cellStyle name="表体文字居中(小) 2 4 2" xfId="3511"/>
    <cellStyle name="表体文字居中(小) 2 4 2 2" xfId="25082"/>
    <cellStyle name="表体文字居中(小) 2 4 2 3" xfId="32344"/>
    <cellStyle name="表体文字居中(小) 2 4 2 4" xfId="32345"/>
    <cellStyle name="表体文字居中(小) 2 4 2 5" xfId="32346"/>
    <cellStyle name="表体文字居中(小) 2 4 2 6" xfId="32347"/>
    <cellStyle name="表体文字居中(小) 2 4 2 7" xfId="32348"/>
    <cellStyle name="表体文字居中(小) 2 4 2 8" xfId="5275"/>
    <cellStyle name="表体文字居中(小) 2 4 3" xfId="3517"/>
    <cellStyle name="表体文字居中(小) 2 4 3 2" xfId="25749"/>
    <cellStyle name="表体文字居中(小) 2 4 3 3" xfId="25754"/>
    <cellStyle name="表体文字居中(小) 2 4 3 4" xfId="25759"/>
    <cellStyle name="表体文字居中(小) 2 4 3 5" xfId="11286"/>
    <cellStyle name="表体文字居中(小) 2 4 3 6" xfId="11290"/>
    <cellStyle name="表体文字居中(小) 2 4 3 7" xfId="11294"/>
    <cellStyle name="表体文字居中(小) 2 4 3 8" xfId="11296"/>
    <cellStyle name="表体文字居中(小) 2 4 4" xfId="3520"/>
    <cellStyle name="表体文字居中(小) 2 4 5" xfId="3525"/>
    <cellStyle name="表体文字居中(小) 2 4 6" xfId="32349"/>
    <cellStyle name="表体文字居中(小) 2 4 7" xfId="32350"/>
    <cellStyle name="表体文字居中(小) 2 4 8" xfId="32351"/>
    <cellStyle name="表体文字居中(小) 2 4 9" xfId="32352"/>
    <cellStyle name="表体文字居中(小) 2 40" xfId="3929"/>
    <cellStyle name="表体文字居中(小) 2 40 10" xfId="12323"/>
    <cellStyle name="表体文字居中(小) 2 40 2" xfId="3934"/>
    <cellStyle name="表体文字居中(小) 2 40 2 2" xfId="451"/>
    <cellStyle name="表体文字居中(小) 2 40 2 3" xfId="496"/>
    <cellStyle name="表体文字居中(小) 2 40 2 4" xfId="1089"/>
    <cellStyle name="表体文字居中(小) 2 40 2 5" xfId="729"/>
    <cellStyle name="表体文字居中(小) 2 40 2 6" xfId="738"/>
    <cellStyle name="表体文字居中(小) 2 40 2 7" xfId="748"/>
    <cellStyle name="表体文字居中(小) 2 40 2 8" xfId="758"/>
    <cellStyle name="表体文字居中(小) 2 40 3" xfId="3943"/>
    <cellStyle name="表体文字居中(小) 2 40 3 2" xfId="8059"/>
    <cellStyle name="表体文字居中(小) 2 40 3 3" xfId="8072"/>
    <cellStyle name="表体文字居中(小) 2 40 3 4" xfId="8084"/>
    <cellStyle name="表体文字居中(小) 2 40 3 5" xfId="8088"/>
    <cellStyle name="表体文字居中(小) 2 40 3 6" xfId="32189"/>
    <cellStyle name="表体文字居中(小) 2 40 3 7" xfId="32191"/>
    <cellStyle name="表体文字居中(小) 2 40 3 8" xfId="32193"/>
    <cellStyle name="表体文字居中(小) 2 40 4" xfId="5099"/>
    <cellStyle name="表体文字居中(小) 2 40 5" xfId="5105"/>
    <cellStyle name="表体文字居中(小) 2 40 6" xfId="5111"/>
    <cellStyle name="表体文字居中(小) 2 40 7" xfId="3457"/>
    <cellStyle name="表体文字居中(小) 2 40 8" xfId="3463"/>
    <cellStyle name="表体文字居中(小) 2 40 9" xfId="3106"/>
    <cellStyle name="表体文字居中(小) 2 41" xfId="3951"/>
    <cellStyle name="表体文字居中(小) 2 41 10" xfId="28159"/>
    <cellStyle name="表体文字居中(小) 2 41 2" xfId="3956"/>
    <cellStyle name="表体文字居中(小) 2 41 2 2" xfId="32195"/>
    <cellStyle name="表体文字居中(小) 2 41 2 3" xfId="32197"/>
    <cellStyle name="表体文字居中(小) 2 41 2 4" xfId="32199"/>
    <cellStyle name="表体文字居中(小) 2 41 2 5" xfId="32201"/>
    <cellStyle name="表体文字居中(小) 2 41 2 6" xfId="32203"/>
    <cellStyle name="表体文字居中(小) 2 41 2 7" xfId="32205"/>
    <cellStyle name="表体文字居中(小) 2 41 2 8" xfId="32207"/>
    <cellStyle name="表体文字居中(小) 2 41 3" xfId="3963"/>
    <cellStyle name="表体文字居中(小) 2 41 3 2" xfId="32209"/>
    <cellStyle name="表体文字居中(小) 2 41 3 3" xfId="32211"/>
    <cellStyle name="表体文字居中(小) 2 41 3 4" xfId="32213"/>
    <cellStyle name="表体文字居中(小) 2 41 3 5" xfId="32215"/>
    <cellStyle name="表体文字居中(小) 2 41 3 6" xfId="32217"/>
    <cellStyle name="表体文字居中(小) 2 41 3 7" xfId="32219"/>
    <cellStyle name="表体文字居中(小) 2 41 3 8" xfId="32221"/>
    <cellStyle name="表体文字居中(小) 2 41 4" xfId="5133"/>
    <cellStyle name="表体文字居中(小) 2 41 5" xfId="5139"/>
    <cellStyle name="表体文字居中(小) 2 41 6" xfId="5145"/>
    <cellStyle name="表体文字居中(小) 2 41 7" xfId="5150"/>
    <cellStyle name="表体文字居中(小) 2 41 8" xfId="5155"/>
    <cellStyle name="表体文字居中(小) 2 41 9" xfId="3120"/>
    <cellStyle name="表体文字居中(小) 2 42" xfId="32223"/>
    <cellStyle name="表体文字居中(小) 2 42 10" xfId="30983"/>
    <cellStyle name="表体文字居中(小) 2 42 2" xfId="32225"/>
    <cellStyle name="表体文字居中(小) 2 42 2 2" xfId="32227"/>
    <cellStyle name="表体文字居中(小) 2 42 2 3" xfId="32229"/>
    <cellStyle name="表体文字居中(小) 2 42 2 4" xfId="32231"/>
    <cellStyle name="表体文字居中(小) 2 42 2 5" xfId="32233"/>
    <cellStyle name="表体文字居中(小) 2 42 2 6" xfId="32235"/>
    <cellStyle name="表体文字居中(小) 2 42 2 7" xfId="32237"/>
    <cellStyle name="表体文字居中(小) 2 42 2 8" xfId="32239"/>
    <cellStyle name="表体文字居中(小) 2 42 3" xfId="32241"/>
    <cellStyle name="表体文字居中(小) 2 42 3 2" xfId="32243"/>
    <cellStyle name="表体文字居中(小) 2 42 3 3" xfId="32245"/>
    <cellStyle name="表体文字居中(小) 2 42 3 4" xfId="32247"/>
    <cellStyle name="表体文字居中(小) 2 42 3 5" xfId="32249"/>
    <cellStyle name="表体文字居中(小) 2 42 3 6" xfId="32251"/>
    <cellStyle name="表体文字居中(小) 2 42 3 7" xfId="32253"/>
    <cellStyle name="表体文字居中(小) 2 42 3 8" xfId="32255"/>
    <cellStyle name="表体文字居中(小) 2 42 4" xfId="32257"/>
    <cellStyle name="表体文字居中(小) 2 42 5" xfId="32259"/>
    <cellStyle name="表体文字居中(小) 2 42 6" xfId="32261"/>
    <cellStyle name="表体文字居中(小) 2 42 7" xfId="32263"/>
    <cellStyle name="表体文字居中(小) 2 42 8" xfId="32265"/>
    <cellStyle name="表体文字居中(小) 2 42 9" xfId="32267"/>
    <cellStyle name="表体文字居中(小) 2 43" xfId="21522"/>
    <cellStyle name="表体文字居中(小) 2 43 10" xfId="32269"/>
    <cellStyle name="表体文字居中(小) 2 43 2" xfId="32271"/>
    <cellStyle name="表体文字居中(小) 2 43 2 2" xfId="27833"/>
    <cellStyle name="表体文字居中(小) 2 43 2 3" xfId="32273"/>
    <cellStyle name="表体文字居中(小) 2 43 2 4" xfId="32275"/>
    <cellStyle name="表体文字居中(小) 2 43 2 5" xfId="32277"/>
    <cellStyle name="表体文字居中(小) 2 43 2 6" xfId="32279"/>
    <cellStyle name="表体文字居中(小) 2 43 2 7" xfId="32281"/>
    <cellStyle name="表体文字居中(小) 2 43 2 8" xfId="32283"/>
    <cellStyle name="表体文字居中(小) 2 43 3" xfId="32285"/>
    <cellStyle name="表体文字居中(小) 2 43 3 2" xfId="27856"/>
    <cellStyle name="表体文字居中(小) 2 43 3 3" xfId="32287"/>
    <cellStyle name="表体文字居中(小) 2 43 3 4" xfId="32289"/>
    <cellStyle name="表体文字居中(小) 2 43 3 5" xfId="32291"/>
    <cellStyle name="表体文字居中(小) 2 43 3 6" xfId="32293"/>
    <cellStyle name="表体文字居中(小) 2 43 3 7" xfId="32295"/>
    <cellStyle name="表体文字居中(小) 2 43 3 8" xfId="32297"/>
    <cellStyle name="表体文字居中(小) 2 43 4" xfId="5169"/>
    <cellStyle name="表体文字居中(小) 2 43 5" xfId="5172"/>
    <cellStyle name="表体文字居中(小) 2 43 6" xfId="32299"/>
    <cellStyle name="表体文字居中(小) 2 43 7" xfId="32301"/>
    <cellStyle name="表体文字居中(小) 2 43 8" xfId="32303"/>
    <cellStyle name="表体文字居中(小) 2 43 9" xfId="32305"/>
    <cellStyle name="表体文字居中(小) 2 44" xfId="27586"/>
    <cellStyle name="表体文字居中(小) 2 44 10" xfId="32307"/>
    <cellStyle name="表体文字居中(小) 2 44 2" xfId="32309"/>
    <cellStyle name="表体文字居中(小) 2 44 2 2" xfId="28824"/>
    <cellStyle name="表体文字居中(小) 2 44 2 3" xfId="32311"/>
    <cellStyle name="表体文字居中(小) 2 44 2 4" xfId="32313"/>
    <cellStyle name="表体文字居中(小) 2 44 2 5" xfId="32315"/>
    <cellStyle name="表体文字居中(小) 2 44 2 6" xfId="32317"/>
    <cellStyle name="表体文字居中(小) 2 44 2 7" xfId="32319"/>
    <cellStyle name="表体文字居中(小) 2 44 2 8" xfId="32321"/>
    <cellStyle name="表体文字居中(小) 2 44 3" xfId="32323"/>
    <cellStyle name="表体文字居中(小) 2 44 3 2" xfId="28863"/>
    <cellStyle name="表体文字居中(小) 2 44 3 3" xfId="32325"/>
    <cellStyle name="表体文字居中(小) 2 44 3 4" xfId="32327"/>
    <cellStyle name="表体文字居中(小) 2 44 3 5" xfId="32329"/>
    <cellStyle name="表体文字居中(小) 2 44 3 6" xfId="32331"/>
    <cellStyle name="表体文字居中(小) 2 44 3 7" xfId="32333"/>
    <cellStyle name="表体文字居中(小) 2 44 3 8" xfId="32335"/>
    <cellStyle name="表体文字居中(小) 2 44 4" xfId="5178"/>
    <cellStyle name="表体文字居中(小) 2 44 5" xfId="5181"/>
    <cellStyle name="表体文字居中(小) 2 44 6" xfId="32337"/>
    <cellStyle name="表体文字居中(小) 2 44 7" xfId="32339"/>
    <cellStyle name="表体文字居中(小) 2 44 8" xfId="32341"/>
    <cellStyle name="表体文字居中(小) 2 44 9" xfId="32343"/>
    <cellStyle name="表体文字居中(小) 2 45" xfId="27589"/>
    <cellStyle name="表体文字居中(小) 2 45 10" xfId="12378"/>
    <cellStyle name="表体文字居中(小) 2 45 2" xfId="32353"/>
    <cellStyle name="表体文字居中(小) 2 45 2 2" xfId="32355"/>
    <cellStyle name="表体文字居中(小) 2 45 2 3" xfId="32357"/>
    <cellStyle name="表体文字居中(小) 2 45 2 4" xfId="934"/>
    <cellStyle name="表体文字居中(小) 2 45 2 5" xfId="939"/>
    <cellStyle name="表体文字居中(小) 2 45 2 6" xfId="945"/>
    <cellStyle name="表体文字居中(小) 2 45 2 7" xfId="954"/>
    <cellStyle name="表体文字居中(小) 2 45 2 8" xfId="964"/>
    <cellStyle name="表体文字居中(小) 2 45 3" xfId="32359"/>
    <cellStyle name="表体文字居中(小) 2 45 3 2" xfId="32361"/>
    <cellStyle name="表体文字居中(小) 2 45 3 3" xfId="32363"/>
    <cellStyle name="表体文字居中(小) 2 45 3 4" xfId="4798"/>
    <cellStyle name="表体文字居中(小) 2 45 3 5" xfId="6367"/>
    <cellStyle name="表体文字居中(小) 2 45 3 6" xfId="5215"/>
    <cellStyle name="表体文字居中(小) 2 45 3 7" xfId="5223"/>
    <cellStyle name="表体文字居中(小) 2 45 3 8" xfId="5228"/>
    <cellStyle name="表体文字居中(小) 2 45 4" xfId="5183"/>
    <cellStyle name="表体文字居中(小) 2 45 5" xfId="5186"/>
    <cellStyle name="表体文字居中(小) 2 45 6" xfId="32365"/>
    <cellStyle name="表体文字居中(小) 2 45 7" xfId="32367"/>
    <cellStyle name="表体文字居中(小) 2 45 8" xfId="9517"/>
    <cellStyle name="表体文字居中(小) 2 45 9" xfId="32369"/>
    <cellStyle name="表体文字居中(小) 2 46" xfId="27593"/>
    <cellStyle name="表体文字居中(小) 2 46 10" xfId="28186"/>
    <cellStyle name="表体文字居中(小) 2 46 2" xfId="32043"/>
    <cellStyle name="表体文字居中(小) 2 46 2 2" xfId="32371"/>
    <cellStyle name="表体文字居中(小) 2 46 2 3" xfId="32373"/>
    <cellStyle name="表体文字居中(小) 2 46 2 4" xfId="32375"/>
    <cellStyle name="表体文字居中(小) 2 46 2 5" xfId="32377"/>
    <cellStyle name="表体文字居中(小) 2 46 2 6" xfId="32379"/>
    <cellStyle name="表体文字居中(小) 2 46 2 7" xfId="32381"/>
    <cellStyle name="表体文字居中(小) 2 46 2 8" xfId="32383"/>
    <cellStyle name="表体文字居中(小) 2 46 3" xfId="32047"/>
    <cellStyle name="表体文字居中(小) 2 46 3 2" xfId="32385"/>
    <cellStyle name="表体文字居中(小) 2 46 3 3" xfId="32387"/>
    <cellStyle name="表体文字居中(小) 2 46 3 4" xfId="32389"/>
    <cellStyle name="表体文字居中(小) 2 46 3 5" xfId="32391"/>
    <cellStyle name="表体文字居中(小) 2 46 3 6" xfId="32393"/>
    <cellStyle name="表体文字居中(小) 2 46 3 7" xfId="32395"/>
    <cellStyle name="表体文字居中(小) 2 46 3 8" xfId="32397"/>
    <cellStyle name="表体文字居中(小) 2 46 4" xfId="32051"/>
    <cellStyle name="表体文字居中(小) 2 46 5" xfId="32055"/>
    <cellStyle name="表体文字居中(小) 2 46 6" xfId="32059"/>
    <cellStyle name="表体文字居中(小) 2 46 7" xfId="32399"/>
    <cellStyle name="表体文字居中(小) 2 46 8" xfId="32401"/>
    <cellStyle name="表体文字居中(小) 2 46 9" xfId="32403"/>
    <cellStyle name="表体文字居中(小) 2 47" xfId="27597"/>
    <cellStyle name="表体文字居中(小) 2 47 10" xfId="32405"/>
    <cellStyle name="表体文字居中(小) 2 47 2" xfId="32067"/>
    <cellStyle name="表体文字居中(小) 2 47 2 2" xfId="32407"/>
    <cellStyle name="表体文字居中(小) 2 47 2 3" xfId="32409"/>
    <cellStyle name="表体文字居中(小) 2 47 2 4" xfId="32411"/>
    <cellStyle name="表体文字居中(小) 2 47 2 5" xfId="32413"/>
    <cellStyle name="表体文字居中(小) 2 47 2 6" xfId="32415"/>
    <cellStyle name="表体文字居中(小) 2 47 2 7" xfId="32417"/>
    <cellStyle name="表体文字居中(小) 2 47 2 8" xfId="32419"/>
    <cellStyle name="表体文字居中(小) 2 47 3" xfId="32071"/>
    <cellStyle name="表体文字居中(小) 2 47 3 2" xfId="32421"/>
    <cellStyle name="表体文字居中(小) 2 47 3 3" xfId="32423"/>
    <cellStyle name="表体文字居中(小) 2 47 3 4" xfId="3152"/>
    <cellStyle name="表体文字居中(小) 2 47 3 5" xfId="32425"/>
    <cellStyle name="表体文字居中(小) 2 47 3 6" xfId="32427"/>
    <cellStyle name="表体文字居中(小) 2 47 3 7" xfId="32429"/>
    <cellStyle name="表体文字居中(小) 2 47 3 8" xfId="32431"/>
    <cellStyle name="表体文字居中(小) 2 47 4" xfId="32075"/>
    <cellStyle name="表体文字居中(小) 2 47 5" xfId="12130"/>
    <cellStyle name="表体文字居中(小) 2 47 6" xfId="12135"/>
    <cellStyle name="表体文字居中(小) 2 47 7" xfId="32433"/>
    <cellStyle name="表体文字居中(小) 2 47 8" xfId="32435"/>
    <cellStyle name="表体文字居中(小) 2 47 9" xfId="32437"/>
    <cellStyle name="表体文字居中(小) 2 48" xfId="27601"/>
    <cellStyle name="表体文字居中(小) 2 48 10" xfId="32439"/>
    <cellStyle name="表体文字居中(小) 2 48 2" xfId="32441"/>
    <cellStyle name="表体文字居中(小) 2 48 2 2" xfId="32443"/>
    <cellStyle name="表体文字居中(小) 2 48 2 3" xfId="32445"/>
    <cellStyle name="表体文字居中(小) 2 48 2 4" xfId="32447"/>
    <cellStyle name="表体文字居中(小) 2 48 2 5" xfId="32449"/>
    <cellStyle name="表体文字居中(小) 2 48 2 6" xfId="32451"/>
    <cellStyle name="表体文字居中(小) 2 48 2 7" xfId="32453"/>
    <cellStyle name="表体文字居中(小) 2 48 2 8" xfId="32455"/>
    <cellStyle name="表体文字居中(小) 2 48 3" xfId="32457"/>
    <cellStyle name="表体文字居中(小) 2 48 3 2" xfId="32459"/>
    <cellStyle name="表体文字居中(小) 2 48 3 3" xfId="32461"/>
    <cellStyle name="表体文字居中(小) 2 48 3 4" xfId="32463"/>
    <cellStyle name="表体文字居中(小) 2 48 3 5" xfId="32465"/>
    <cellStyle name="表体文字居中(小) 2 48 3 6" xfId="32467"/>
    <cellStyle name="表体文字居中(小) 2 48 3 7" xfId="32469"/>
    <cellStyle name="表体文字居中(小) 2 48 3 8" xfId="32471"/>
    <cellStyle name="表体文字居中(小) 2 48 4" xfId="32473"/>
    <cellStyle name="表体文字居中(小) 2 48 5" xfId="32475"/>
    <cellStyle name="表体文字居中(小) 2 48 6" xfId="55"/>
    <cellStyle name="表体文字居中(小) 2 48 7" xfId="32477"/>
    <cellStyle name="表体文字居中(小) 2 48 8" xfId="32479"/>
    <cellStyle name="表体文字居中(小) 2 48 9" xfId="32481"/>
    <cellStyle name="表体文字居中(小) 2 49" xfId="27605"/>
    <cellStyle name="表体文字居中(小) 2 49 10" xfId="32483"/>
    <cellStyle name="表体文字居中(小) 2 49 2" xfId="32485"/>
    <cellStyle name="表体文字居中(小) 2 49 2 2" xfId="1280"/>
    <cellStyle name="表体文字居中(小) 2 49 2 3" xfId="333"/>
    <cellStyle name="表体文字居中(小) 2 49 2 4" xfId="367"/>
    <cellStyle name="表体文字居中(小) 2 49 2 5" xfId="32487"/>
    <cellStyle name="表体文字居中(小) 2 49 2 6" xfId="32489"/>
    <cellStyle name="表体文字居中(小) 2 49 2 7" xfId="32491"/>
    <cellStyle name="表体文字居中(小) 2 49 2 8" xfId="32493"/>
    <cellStyle name="表体文字居中(小) 2 49 3" xfId="32495"/>
    <cellStyle name="表体文字居中(小) 2 49 3 2" xfId="1294"/>
    <cellStyle name="表体文字居中(小) 2 49 3 3" xfId="557"/>
    <cellStyle name="表体文字居中(小) 2 49 3 4" xfId="347"/>
    <cellStyle name="表体文字居中(小) 2 49 3 5" xfId="32497"/>
    <cellStyle name="表体文字居中(小) 2 49 3 6" xfId="32499"/>
    <cellStyle name="表体文字居中(小) 2 49 3 7" xfId="2255"/>
    <cellStyle name="表体文字居中(小) 2 49 3 8" xfId="2259"/>
    <cellStyle name="表体文字居中(小) 2 49 4" xfId="32501"/>
    <cellStyle name="表体文字居中(小) 2 49 5" xfId="32503"/>
    <cellStyle name="表体文字居中(小) 2 49 6" xfId="32505"/>
    <cellStyle name="表体文字居中(小) 2 49 7" xfId="32507"/>
    <cellStyle name="表体文字居中(小) 2 49 8" xfId="32509"/>
    <cellStyle name="表体文字居中(小) 2 49 9" xfId="32511"/>
    <cellStyle name="表体文字居中(小) 2 5" xfId="5012"/>
    <cellStyle name="表体文字居中(小) 2 5 10" xfId="32513"/>
    <cellStyle name="表体文字居中(小) 2 5 2" xfId="3585"/>
    <cellStyle name="表体文字居中(小) 2 5 2 2" xfId="25129"/>
    <cellStyle name="表体文字居中(小) 2 5 2 3" xfId="29128"/>
    <cellStyle name="表体文字居中(小) 2 5 2 4" xfId="29130"/>
    <cellStyle name="表体文字居中(小) 2 5 2 5" xfId="29132"/>
    <cellStyle name="表体文字居中(小) 2 5 2 6" xfId="32514"/>
    <cellStyle name="表体文字居中(小) 2 5 2 7" xfId="32515"/>
    <cellStyle name="表体文字居中(小) 2 5 2 8" xfId="32516"/>
    <cellStyle name="表体文字居中(小) 2 5 3" xfId="3592"/>
    <cellStyle name="表体文字居中(小) 2 5 3 2" xfId="25814"/>
    <cellStyle name="表体文字居中(小) 2 5 3 3" xfId="25820"/>
    <cellStyle name="表体文字居中(小) 2 5 3 4" xfId="25826"/>
    <cellStyle name="表体文字居中(小) 2 5 3 5" xfId="11324"/>
    <cellStyle name="表体文字居中(小) 2 5 3 6" xfId="11328"/>
    <cellStyle name="表体文字居中(小) 2 5 3 7" xfId="11332"/>
    <cellStyle name="表体文字居中(小) 2 5 3 8" xfId="11334"/>
    <cellStyle name="表体文字居中(小) 2 5 4" xfId="3599"/>
    <cellStyle name="表体文字居中(小) 2 5 5" xfId="3604"/>
    <cellStyle name="表体文字居中(小) 2 5 6" xfId="6186"/>
    <cellStyle name="表体文字居中(小) 2 5 7" xfId="32517"/>
    <cellStyle name="表体文字居中(小) 2 5 8" xfId="32518"/>
    <cellStyle name="表体文字居中(小) 2 5 9" xfId="32519"/>
    <cellStyle name="表体文字居中(小) 2 50" xfId="27590"/>
    <cellStyle name="表体文字居中(小) 2 50 10" xfId="12379"/>
    <cellStyle name="表体文字居中(小) 2 50 2" xfId="32354"/>
    <cellStyle name="表体文字居中(小) 2 50 2 2" xfId="32356"/>
    <cellStyle name="表体文字居中(小) 2 50 2 3" xfId="32358"/>
    <cellStyle name="表体文字居中(小) 2 50 2 4" xfId="933"/>
    <cellStyle name="表体文字居中(小) 2 50 2 5" xfId="938"/>
    <cellStyle name="表体文字居中(小) 2 50 2 6" xfId="944"/>
    <cellStyle name="表体文字居中(小) 2 50 2 7" xfId="953"/>
    <cellStyle name="表体文字居中(小) 2 50 2 8" xfId="963"/>
    <cellStyle name="表体文字居中(小) 2 50 3" xfId="32360"/>
    <cellStyle name="表体文字居中(小) 2 50 3 2" xfId="32362"/>
    <cellStyle name="表体文字居中(小) 2 50 3 3" xfId="32364"/>
    <cellStyle name="表体文字居中(小) 2 50 3 4" xfId="4799"/>
    <cellStyle name="表体文字居中(小) 2 50 3 5" xfId="6368"/>
    <cellStyle name="表体文字居中(小) 2 50 3 6" xfId="5216"/>
    <cellStyle name="表体文字居中(小) 2 50 3 7" xfId="5224"/>
    <cellStyle name="表体文字居中(小) 2 50 3 8" xfId="5229"/>
    <cellStyle name="表体文字居中(小) 2 50 4" xfId="5184"/>
    <cellStyle name="表体文字居中(小) 2 50 5" xfId="5187"/>
    <cellStyle name="表体文字居中(小) 2 50 6" xfId="32366"/>
    <cellStyle name="表体文字居中(小) 2 50 7" xfId="32368"/>
    <cellStyle name="表体文字居中(小) 2 50 8" xfId="9518"/>
    <cellStyle name="表体文字居中(小) 2 50 9" xfId="32370"/>
    <cellStyle name="表体文字居中(小) 2 51" xfId="27594"/>
    <cellStyle name="表体文字居中(小) 2 51 10" xfId="28187"/>
    <cellStyle name="表体文字居中(小) 2 51 2" xfId="32044"/>
    <cellStyle name="表体文字居中(小) 2 51 2 2" xfId="32372"/>
    <cellStyle name="表体文字居中(小) 2 51 2 3" xfId="32374"/>
    <cellStyle name="表体文字居中(小) 2 51 2 4" xfId="32376"/>
    <cellStyle name="表体文字居中(小) 2 51 2 5" xfId="32378"/>
    <cellStyle name="表体文字居中(小) 2 51 2 6" xfId="32380"/>
    <cellStyle name="表体文字居中(小) 2 51 2 7" xfId="32382"/>
    <cellStyle name="表体文字居中(小) 2 51 2 8" xfId="32384"/>
    <cellStyle name="表体文字居中(小) 2 51 3" xfId="32048"/>
    <cellStyle name="表体文字居中(小) 2 51 3 2" xfId="32386"/>
    <cellStyle name="表体文字居中(小) 2 51 3 3" xfId="32388"/>
    <cellStyle name="表体文字居中(小) 2 51 3 4" xfId="32390"/>
    <cellStyle name="表体文字居中(小) 2 51 3 5" xfId="32392"/>
    <cellStyle name="表体文字居中(小) 2 51 3 6" xfId="32394"/>
    <cellStyle name="表体文字居中(小) 2 51 3 7" xfId="32396"/>
    <cellStyle name="表体文字居中(小) 2 51 3 8" xfId="32398"/>
    <cellStyle name="表体文字居中(小) 2 51 4" xfId="32052"/>
    <cellStyle name="表体文字居中(小) 2 51 5" xfId="32056"/>
    <cellStyle name="表体文字居中(小) 2 51 6" xfId="32060"/>
    <cellStyle name="表体文字居中(小) 2 51 7" xfId="32400"/>
    <cellStyle name="表体文字居中(小) 2 51 8" xfId="32402"/>
    <cellStyle name="表体文字居中(小) 2 51 9" xfId="32404"/>
    <cellStyle name="表体文字居中(小) 2 52" xfId="27598"/>
    <cellStyle name="表体文字居中(小) 2 52 10" xfId="32406"/>
    <cellStyle name="表体文字居中(小) 2 52 2" xfId="32068"/>
    <cellStyle name="表体文字居中(小) 2 52 2 2" xfId="32408"/>
    <cellStyle name="表体文字居中(小) 2 52 2 3" xfId="32410"/>
    <cellStyle name="表体文字居中(小) 2 52 2 4" xfId="32412"/>
    <cellStyle name="表体文字居中(小) 2 52 2 5" xfId="32414"/>
    <cellStyle name="表体文字居中(小) 2 52 2 6" xfId="32416"/>
    <cellStyle name="表体文字居中(小) 2 52 2 7" xfId="32418"/>
    <cellStyle name="表体文字居中(小) 2 52 2 8" xfId="32420"/>
    <cellStyle name="表体文字居中(小) 2 52 3" xfId="32072"/>
    <cellStyle name="表体文字居中(小) 2 52 3 2" xfId="32422"/>
    <cellStyle name="表体文字居中(小) 2 52 3 3" xfId="32424"/>
    <cellStyle name="表体文字居中(小) 2 52 3 4" xfId="3151"/>
    <cellStyle name="表体文字居中(小) 2 52 3 5" xfId="32426"/>
    <cellStyle name="表体文字居中(小) 2 52 3 6" xfId="32428"/>
    <cellStyle name="表体文字居中(小) 2 52 3 7" xfId="32430"/>
    <cellStyle name="表体文字居中(小) 2 52 3 8" xfId="32432"/>
    <cellStyle name="表体文字居中(小) 2 52 4" xfId="32076"/>
    <cellStyle name="表体文字居中(小) 2 52 5" xfId="12131"/>
    <cellStyle name="表体文字居中(小) 2 52 6" xfId="12136"/>
    <cellStyle name="表体文字居中(小) 2 52 7" xfId="32434"/>
    <cellStyle name="表体文字居中(小) 2 52 8" xfId="32436"/>
    <cellStyle name="表体文字居中(小) 2 52 9" xfId="32438"/>
    <cellStyle name="表体文字居中(小) 2 53" xfId="27602"/>
    <cellStyle name="表体文字居中(小) 2 53 10" xfId="32440"/>
    <cellStyle name="表体文字居中(小) 2 53 2" xfId="32442"/>
    <cellStyle name="表体文字居中(小) 2 53 2 2" xfId="32444"/>
    <cellStyle name="表体文字居中(小) 2 53 2 3" xfId="32446"/>
    <cellStyle name="表体文字居中(小) 2 53 2 4" xfId="32448"/>
    <cellStyle name="表体文字居中(小) 2 53 2 5" xfId="32450"/>
    <cellStyle name="表体文字居中(小) 2 53 2 6" xfId="32452"/>
    <cellStyle name="表体文字居中(小) 2 53 2 7" xfId="32454"/>
    <cellStyle name="表体文字居中(小) 2 53 2 8" xfId="32456"/>
    <cellStyle name="表体文字居中(小) 2 53 3" xfId="32458"/>
    <cellStyle name="表体文字居中(小) 2 53 3 2" xfId="32460"/>
    <cellStyle name="表体文字居中(小) 2 53 3 3" xfId="32462"/>
    <cellStyle name="表体文字居中(小) 2 53 3 4" xfId="32464"/>
    <cellStyle name="表体文字居中(小) 2 53 3 5" xfId="32466"/>
    <cellStyle name="表体文字居中(小) 2 53 3 6" xfId="32468"/>
    <cellStyle name="表体文字居中(小) 2 53 3 7" xfId="32470"/>
    <cellStyle name="表体文字居中(小) 2 53 3 8" xfId="32472"/>
    <cellStyle name="表体文字居中(小) 2 53 4" xfId="32474"/>
    <cellStyle name="表体文字居中(小) 2 53 5" xfId="32476"/>
    <cellStyle name="表体文字居中(小) 2 53 6" xfId="56"/>
    <cellStyle name="表体文字居中(小) 2 53 7" xfId="32478"/>
    <cellStyle name="表体文字居中(小) 2 53 8" xfId="32480"/>
    <cellStyle name="表体文字居中(小) 2 53 9" xfId="32482"/>
    <cellStyle name="表体文字居中(小) 2 54" xfId="27606"/>
    <cellStyle name="表体文字居中(小) 2 54 10" xfId="32484"/>
    <cellStyle name="表体文字居中(小) 2 54 2" xfId="32486"/>
    <cellStyle name="表体文字居中(小) 2 54 2 2" xfId="1279"/>
    <cellStyle name="表体文字居中(小) 2 54 2 3" xfId="334"/>
    <cellStyle name="表体文字居中(小) 2 54 2 4" xfId="368"/>
    <cellStyle name="表体文字居中(小) 2 54 2 5" xfId="32488"/>
    <cellStyle name="表体文字居中(小) 2 54 2 6" xfId="32490"/>
    <cellStyle name="表体文字居中(小) 2 54 2 7" xfId="32492"/>
    <cellStyle name="表体文字居中(小) 2 54 2 8" xfId="32494"/>
    <cellStyle name="表体文字居中(小) 2 54 3" xfId="32496"/>
    <cellStyle name="表体文字居中(小) 2 54 3 2" xfId="1293"/>
    <cellStyle name="表体文字居中(小) 2 54 3 3" xfId="556"/>
    <cellStyle name="表体文字居中(小) 2 54 3 4" xfId="348"/>
    <cellStyle name="表体文字居中(小) 2 54 3 5" xfId="32498"/>
    <cellStyle name="表体文字居中(小) 2 54 3 6" xfId="32500"/>
    <cellStyle name="表体文字居中(小) 2 54 3 7" xfId="2254"/>
    <cellStyle name="表体文字居中(小) 2 54 3 8" xfId="2258"/>
    <cellStyle name="表体文字居中(小) 2 54 4" xfId="32502"/>
    <cellStyle name="表体文字居中(小) 2 54 5" xfId="32504"/>
    <cellStyle name="表体文字居中(小) 2 54 6" xfId="32506"/>
    <cellStyle name="表体文字居中(小) 2 54 7" xfId="32508"/>
    <cellStyle name="表体文字居中(小) 2 54 8" xfId="32510"/>
    <cellStyle name="表体文字居中(小) 2 54 9" xfId="32512"/>
    <cellStyle name="表体文字居中(小) 2 55" xfId="27609"/>
    <cellStyle name="表体文字居中(小) 2 55 10" xfId="12503"/>
    <cellStyle name="表体文字居中(小) 2 55 2" xfId="32520"/>
    <cellStyle name="表体文字居中(小) 2 55 2 2" xfId="32522"/>
    <cellStyle name="表体文字居中(小) 2 55 2 3" xfId="32524"/>
    <cellStyle name="表体文字居中(小) 2 55 2 4" xfId="32526"/>
    <cellStyle name="表体文字居中(小) 2 55 2 5" xfId="32528"/>
    <cellStyle name="表体文字居中(小) 2 55 2 6" xfId="32530"/>
    <cellStyle name="表体文字居中(小) 2 55 2 7" xfId="32532"/>
    <cellStyle name="表体文字居中(小) 2 55 2 8" xfId="32534"/>
    <cellStyle name="表体文字居中(小) 2 55 3" xfId="32536"/>
    <cellStyle name="表体文字居中(小) 2 55 3 2" xfId="32538"/>
    <cellStyle name="表体文字居中(小) 2 55 3 3" xfId="32540"/>
    <cellStyle name="表体文字居中(小) 2 55 3 4" xfId="32542"/>
    <cellStyle name="表体文字居中(小) 2 55 3 5" xfId="32544"/>
    <cellStyle name="表体文字居中(小) 2 55 3 6" xfId="32546"/>
    <cellStyle name="表体文字居中(小) 2 55 3 7" xfId="32548"/>
    <cellStyle name="表体文字居中(小) 2 55 3 8" xfId="32550"/>
    <cellStyle name="表体文字居中(小) 2 55 4" xfId="32552"/>
    <cellStyle name="表体文字居中(小) 2 55 5" xfId="32554"/>
    <cellStyle name="表体文字居中(小) 2 55 6" xfId="32556"/>
    <cellStyle name="表体文字居中(小) 2 55 7" xfId="32558"/>
    <cellStyle name="表体文字居中(小) 2 55 8" xfId="32560"/>
    <cellStyle name="表体文字居中(小) 2 55 9" xfId="32562"/>
    <cellStyle name="表体文字居中(小) 2 56" xfId="32564"/>
    <cellStyle name="表体文字居中(小) 2 56 10" xfId="4918"/>
    <cellStyle name="表体文字居中(小) 2 56 2" xfId="32566"/>
    <cellStyle name="表体文字居中(小) 2 56 2 2" xfId="32568"/>
    <cellStyle name="表体文字居中(小) 2 56 2 3" xfId="32570"/>
    <cellStyle name="表体文字居中(小) 2 56 2 4" xfId="32572"/>
    <cellStyle name="表体文字居中(小) 2 56 2 5" xfId="32574"/>
    <cellStyle name="表体文字居中(小) 2 56 2 6" xfId="32576"/>
    <cellStyle name="表体文字居中(小) 2 56 2 7" xfId="32578"/>
    <cellStyle name="表体文字居中(小) 2 56 2 8" xfId="32580"/>
    <cellStyle name="表体文字居中(小) 2 56 3" xfId="32582"/>
    <cellStyle name="表体文字居中(小) 2 56 3 2" xfId="32584"/>
    <cellStyle name="表体文字居中(小) 2 56 3 3" xfId="32586"/>
    <cellStyle name="表体文字居中(小) 2 56 3 4" xfId="32588"/>
    <cellStyle name="表体文字居中(小) 2 56 3 5" xfId="32590"/>
    <cellStyle name="表体文字居中(小) 2 56 3 6" xfId="32592"/>
    <cellStyle name="表体文字居中(小) 2 56 3 7" xfId="32594"/>
    <cellStyle name="表体文字居中(小) 2 56 3 8" xfId="32596"/>
    <cellStyle name="表体文字居中(小) 2 56 4" xfId="32598"/>
    <cellStyle name="表体文字居中(小) 2 56 5" xfId="12144"/>
    <cellStyle name="表体文字居中(小) 2 56 6" xfId="12147"/>
    <cellStyle name="表体文字居中(小) 2 56 7" xfId="32600"/>
    <cellStyle name="表体文字居中(小) 2 56 8" xfId="32602"/>
    <cellStyle name="表体文字居中(小) 2 56 9" xfId="32604"/>
    <cellStyle name="表体文字居中(小) 2 57" xfId="32606"/>
    <cellStyle name="表体文字居中(小) 2 57 10" xfId="32608"/>
    <cellStyle name="表体文字居中(小) 2 57 2" xfId="32610"/>
    <cellStyle name="表体文字居中(小) 2 57 2 2" xfId="9855"/>
    <cellStyle name="表体文字居中(小) 2 57 2 3" xfId="32612"/>
    <cellStyle name="表体文字居中(小) 2 57 2 4" xfId="32614"/>
    <cellStyle name="表体文字居中(小) 2 57 2 5" xfId="32616"/>
    <cellStyle name="表体文字居中(小) 2 57 2 6" xfId="32618"/>
    <cellStyle name="表体文字居中(小) 2 57 2 7" xfId="32620"/>
    <cellStyle name="表体文字居中(小) 2 57 2 8" xfId="32622"/>
    <cellStyle name="表体文字居中(小) 2 57 3" xfId="32624"/>
    <cellStyle name="表体文字居中(小) 2 57 3 2" xfId="32626"/>
    <cellStyle name="表体文字居中(小) 2 57 3 3" xfId="32628"/>
    <cellStyle name="表体文字居中(小) 2 57 3 4" xfId="32630"/>
    <cellStyle name="表体文字居中(小) 2 57 3 5" xfId="32632"/>
    <cellStyle name="表体文字居中(小) 2 57 3 6" xfId="32634"/>
    <cellStyle name="表体文字居中(小) 2 57 3 7" xfId="32636"/>
    <cellStyle name="表体文字居中(小) 2 57 3 8" xfId="32638"/>
    <cellStyle name="表体文字居中(小) 2 57 4" xfId="32640"/>
    <cellStyle name="表体文字居中(小) 2 57 5" xfId="32642"/>
    <cellStyle name="表体文字居中(小) 2 57 6" xfId="32644"/>
    <cellStyle name="表体文字居中(小) 2 57 7" xfId="32646"/>
    <cellStyle name="表体文字居中(小) 2 57 8" xfId="32648"/>
    <cellStyle name="表体文字居中(小) 2 57 9" xfId="32650"/>
    <cellStyle name="表体文字居中(小) 2 58" xfId="32652"/>
    <cellStyle name="表体文字居中(小) 2 58 10" xfId="7018"/>
    <cellStyle name="表体文字居中(小) 2 58 2" xfId="32654"/>
    <cellStyle name="表体文字居中(小) 2 58 2 2" xfId="32656"/>
    <cellStyle name="表体文字居中(小) 2 58 2 3" xfId="32658"/>
    <cellStyle name="表体文字居中(小) 2 58 2 4" xfId="32660"/>
    <cellStyle name="表体文字居中(小) 2 58 2 5" xfId="32662"/>
    <cellStyle name="表体文字居中(小) 2 58 2 6" xfId="32664"/>
    <cellStyle name="表体文字居中(小) 2 58 2 7" xfId="32666"/>
    <cellStyle name="表体文字居中(小) 2 58 2 8" xfId="32668"/>
    <cellStyle name="表体文字居中(小) 2 58 3" xfId="32670"/>
    <cellStyle name="表体文字居中(小) 2 58 3 2" xfId="32672"/>
    <cellStyle name="表体文字居中(小) 2 58 3 3" xfId="32674"/>
    <cellStyle name="表体文字居中(小) 2 58 3 4" xfId="32676"/>
    <cellStyle name="表体文字居中(小) 2 58 3 5" xfId="32678"/>
    <cellStyle name="表体文字居中(小) 2 58 3 6" xfId="32680"/>
    <cellStyle name="表体文字居中(小) 2 58 3 7" xfId="32682"/>
    <cellStyle name="表体文字居中(小) 2 58 3 8" xfId="32684"/>
    <cellStyle name="表体文字居中(小) 2 58 4" xfId="32686"/>
    <cellStyle name="表体文字居中(小) 2 58 5" xfId="32688"/>
    <cellStyle name="表体文字居中(小) 2 58 6" xfId="32690"/>
    <cellStyle name="表体文字居中(小) 2 58 7" xfId="32692"/>
    <cellStyle name="表体文字居中(小) 2 58 8" xfId="32694"/>
    <cellStyle name="表体文字居中(小) 2 58 9" xfId="32696"/>
    <cellStyle name="表体文字居中(小) 2 59" xfId="32698"/>
    <cellStyle name="表体文字居中(小) 2 59 10" xfId="32700"/>
    <cellStyle name="表体文字居中(小) 2 59 2" xfId="32702"/>
    <cellStyle name="表体文字居中(小) 2 59 2 2" xfId="48"/>
    <cellStyle name="表体文字居中(小) 2 59 2 3" xfId="32704"/>
    <cellStyle name="表体文字居中(小) 2 59 2 4" xfId="32706"/>
    <cellStyle name="表体文字居中(小) 2 59 2 5" xfId="32708"/>
    <cellStyle name="表体文字居中(小) 2 59 2 6" xfId="32710"/>
    <cellStyle name="表体文字居中(小) 2 59 2 7" xfId="32712"/>
    <cellStyle name="表体文字居中(小) 2 59 2 8" xfId="32714"/>
    <cellStyle name="表体文字居中(小) 2 59 3" xfId="32716"/>
    <cellStyle name="表体文字居中(小) 2 59 3 2" xfId="32718"/>
    <cellStyle name="表体文字居中(小) 2 59 3 3" xfId="32720"/>
    <cellStyle name="表体文字居中(小) 2 59 3 4" xfId="32723"/>
    <cellStyle name="表体文字居中(小) 2 59 3 5" xfId="32725"/>
    <cellStyle name="表体文字居中(小) 2 59 3 6" xfId="32727"/>
    <cellStyle name="表体文字居中(小) 2 59 3 7" xfId="4232"/>
    <cellStyle name="表体文字居中(小) 2 59 3 8" xfId="4235"/>
    <cellStyle name="表体文字居中(小) 2 59 4" xfId="32729"/>
    <cellStyle name="表体文字居中(小) 2 59 5" xfId="32731"/>
    <cellStyle name="表体文字居中(小) 2 59 6" xfId="32733"/>
    <cellStyle name="表体文字居中(小) 2 59 7" xfId="32735"/>
    <cellStyle name="表体文字居中(小) 2 59 8" xfId="32737"/>
    <cellStyle name="表体文字居中(小) 2 59 9" xfId="32739"/>
    <cellStyle name="表体文字居中(小) 2 6" xfId="5015"/>
    <cellStyle name="表体文字居中(小) 2 6 10" xfId="32740"/>
    <cellStyle name="表体文字居中(小) 2 6 2" xfId="5019"/>
    <cellStyle name="表体文字居中(小) 2 6 2 2" xfId="25156"/>
    <cellStyle name="表体文字居中(小) 2 6 2 3" xfId="32741"/>
    <cellStyle name="表体文字居中(小) 2 6 2 4" xfId="32742"/>
    <cellStyle name="表体文字居中(小) 2 6 2 5" xfId="32743"/>
    <cellStyle name="表体文字居中(小) 2 6 2 6" xfId="32744"/>
    <cellStyle name="表体文字居中(小) 2 6 2 7" xfId="32745"/>
    <cellStyle name="表体文字居中(小) 2 6 2 8" xfId="32746"/>
    <cellStyle name="表体文字居中(小) 2 6 3" xfId="5023"/>
    <cellStyle name="表体文字居中(小) 2 6 3 2" xfId="25887"/>
    <cellStyle name="表体文字居中(小) 2 6 3 3" xfId="25892"/>
    <cellStyle name="表体文字居中(小) 2 6 3 4" xfId="25897"/>
    <cellStyle name="表体文字居中(小) 2 6 3 5" xfId="11361"/>
    <cellStyle name="表体文字居中(小) 2 6 3 6" xfId="11365"/>
    <cellStyle name="表体文字居中(小) 2 6 3 7" xfId="11369"/>
    <cellStyle name="表体文字居中(小) 2 6 3 8" xfId="11372"/>
    <cellStyle name="表体文字居中(小) 2 6 4" xfId="28508"/>
    <cellStyle name="表体文字居中(小) 2 6 5" xfId="9890"/>
    <cellStyle name="表体文字居中(小) 2 6 6" xfId="9892"/>
    <cellStyle name="表体文字居中(小) 2 6 7" xfId="9894"/>
    <cellStyle name="表体文字居中(小) 2 6 8" xfId="9896"/>
    <cellStyle name="表体文字居中(小) 2 6 9" xfId="9898"/>
    <cellStyle name="表体文字居中(小) 2 60" xfId="27610"/>
    <cellStyle name="表体文字居中(小) 2 60 10" xfId="12504"/>
    <cellStyle name="表体文字居中(小) 2 60 2" xfId="32521"/>
    <cellStyle name="表体文字居中(小) 2 60 2 2" xfId="32523"/>
    <cellStyle name="表体文字居中(小) 2 60 2 3" xfId="32525"/>
    <cellStyle name="表体文字居中(小) 2 60 2 4" xfId="32527"/>
    <cellStyle name="表体文字居中(小) 2 60 2 5" xfId="32529"/>
    <cellStyle name="表体文字居中(小) 2 60 2 6" xfId="32531"/>
    <cellStyle name="表体文字居中(小) 2 60 2 7" xfId="32533"/>
    <cellStyle name="表体文字居中(小) 2 60 2 8" xfId="32535"/>
    <cellStyle name="表体文字居中(小) 2 60 3" xfId="32537"/>
    <cellStyle name="表体文字居中(小) 2 60 3 2" xfId="32539"/>
    <cellStyle name="表体文字居中(小) 2 60 3 3" xfId="32541"/>
    <cellStyle name="表体文字居中(小) 2 60 3 4" xfId="32543"/>
    <cellStyle name="表体文字居中(小) 2 60 3 5" xfId="32545"/>
    <cellStyle name="表体文字居中(小) 2 60 3 6" xfId="32547"/>
    <cellStyle name="表体文字居中(小) 2 60 3 7" xfId="32549"/>
    <cellStyle name="表体文字居中(小) 2 60 3 8" xfId="32551"/>
    <cellStyle name="表体文字居中(小) 2 60 4" xfId="32553"/>
    <cellStyle name="表体文字居中(小) 2 60 5" xfId="32555"/>
    <cellStyle name="表体文字居中(小) 2 60 6" xfId="32557"/>
    <cellStyle name="表体文字居中(小) 2 60 7" xfId="32559"/>
    <cellStyle name="表体文字居中(小) 2 60 8" xfId="32561"/>
    <cellStyle name="表体文字居中(小) 2 60 9" xfId="32563"/>
    <cellStyle name="表体文字居中(小) 2 61" xfId="32565"/>
    <cellStyle name="表体文字居中(小) 2 61 10" xfId="4919"/>
    <cellStyle name="表体文字居中(小) 2 61 2" xfId="32567"/>
    <cellStyle name="表体文字居中(小) 2 61 2 2" xfId="32569"/>
    <cellStyle name="表体文字居中(小) 2 61 2 3" xfId="32571"/>
    <cellStyle name="表体文字居中(小) 2 61 2 4" xfId="32573"/>
    <cellStyle name="表体文字居中(小) 2 61 2 5" xfId="32575"/>
    <cellStyle name="表体文字居中(小) 2 61 2 6" xfId="32577"/>
    <cellStyle name="表体文字居中(小) 2 61 2 7" xfId="32579"/>
    <cellStyle name="表体文字居中(小) 2 61 2 8" xfId="32581"/>
    <cellStyle name="表体文字居中(小) 2 61 3" xfId="32583"/>
    <cellStyle name="表体文字居中(小) 2 61 3 2" xfId="32585"/>
    <cellStyle name="表体文字居中(小) 2 61 3 3" xfId="32587"/>
    <cellStyle name="表体文字居中(小) 2 61 3 4" xfId="32589"/>
    <cellStyle name="表体文字居中(小) 2 61 3 5" xfId="32591"/>
    <cellStyle name="表体文字居中(小) 2 61 3 6" xfId="32593"/>
    <cellStyle name="表体文字居中(小) 2 61 3 7" xfId="32595"/>
    <cellStyle name="表体文字居中(小) 2 61 3 8" xfId="32597"/>
    <cellStyle name="表体文字居中(小) 2 61 4" xfId="32599"/>
    <cellStyle name="表体文字居中(小) 2 61 5" xfId="12145"/>
    <cellStyle name="表体文字居中(小) 2 61 6" xfId="12148"/>
    <cellStyle name="表体文字居中(小) 2 61 7" xfId="32601"/>
    <cellStyle name="表体文字居中(小) 2 61 8" xfId="32603"/>
    <cellStyle name="表体文字居中(小) 2 61 9" xfId="32605"/>
    <cellStyle name="表体文字居中(小) 2 62" xfId="32607"/>
    <cellStyle name="表体文字居中(小) 2 62 10" xfId="32609"/>
    <cellStyle name="表体文字居中(小) 2 62 2" xfId="32611"/>
    <cellStyle name="表体文字居中(小) 2 62 2 2" xfId="9856"/>
    <cellStyle name="表体文字居中(小) 2 62 2 3" xfId="32613"/>
    <cellStyle name="表体文字居中(小) 2 62 2 4" xfId="32615"/>
    <cellStyle name="表体文字居中(小) 2 62 2 5" xfId="32617"/>
    <cellStyle name="表体文字居中(小) 2 62 2 6" xfId="32619"/>
    <cellStyle name="表体文字居中(小) 2 62 2 7" xfId="32621"/>
    <cellStyle name="表体文字居中(小) 2 62 2 8" xfId="32623"/>
    <cellStyle name="表体文字居中(小) 2 62 3" xfId="32625"/>
    <cellStyle name="表体文字居中(小) 2 62 3 2" xfId="32627"/>
    <cellStyle name="表体文字居中(小) 2 62 3 3" xfId="32629"/>
    <cellStyle name="表体文字居中(小) 2 62 3 4" xfId="32631"/>
    <cellStyle name="表体文字居中(小) 2 62 3 5" xfId="32633"/>
    <cellStyle name="表体文字居中(小) 2 62 3 6" xfId="32635"/>
    <cellStyle name="表体文字居中(小) 2 62 3 7" xfId="32637"/>
    <cellStyle name="表体文字居中(小) 2 62 3 8" xfId="32639"/>
    <cellStyle name="表体文字居中(小) 2 62 4" xfId="32641"/>
    <cellStyle name="表体文字居中(小) 2 62 5" xfId="32643"/>
    <cellStyle name="表体文字居中(小) 2 62 6" xfId="32645"/>
    <cellStyle name="表体文字居中(小) 2 62 7" xfId="32647"/>
    <cellStyle name="表体文字居中(小) 2 62 8" xfId="32649"/>
    <cellStyle name="表体文字居中(小) 2 62 9" xfId="32651"/>
    <cellStyle name="表体文字居中(小) 2 63" xfId="32653"/>
    <cellStyle name="表体文字居中(小) 2 63 10" xfId="7019"/>
    <cellStyle name="表体文字居中(小) 2 63 2" xfId="32655"/>
    <cellStyle name="表体文字居中(小) 2 63 2 2" xfId="32657"/>
    <cellStyle name="表体文字居中(小) 2 63 2 3" xfId="32659"/>
    <cellStyle name="表体文字居中(小) 2 63 2 4" xfId="32661"/>
    <cellStyle name="表体文字居中(小) 2 63 2 5" xfId="32663"/>
    <cellStyle name="表体文字居中(小) 2 63 2 6" xfId="32665"/>
    <cellStyle name="表体文字居中(小) 2 63 2 7" xfId="32667"/>
    <cellStyle name="表体文字居中(小) 2 63 2 8" xfId="32669"/>
    <cellStyle name="表体文字居中(小) 2 63 3" xfId="32671"/>
    <cellStyle name="表体文字居中(小) 2 63 3 2" xfId="32673"/>
    <cellStyle name="表体文字居中(小) 2 63 3 3" xfId="32675"/>
    <cellStyle name="表体文字居中(小) 2 63 3 4" xfId="32677"/>
    <cellStyle name="表体文字居中(小) 2 63 3 5" xfId="32679"/>
    <cellStyle name="表体文字居中(小) 2 63 3 6" xfId="32681"/>
    <cellStyle name="表体文字居中(小) 2 63 3 7" xfId="32683"/>
    <cellStyle name="表体文字居中(小) 2 63 3 8" xfId="32685"/>
    <cellStyle name="表体文字居中(小) 2 63 4" xfId="32687"/>
    <cellStyle name="表体文字居中(小) 2 63 5" xfId="32689"/>
    <cellStyle name="表体文字居中(小) 2 63 6" xfId="32691"/>
    <cellStyle name="表体文字居中(小) 2 63 7" xfId="32693"/>
    <cellStyle name="表体文字居中(小) 2 63 8" xfId="32695"/>
    <cellStyle name="表体文字居中(小) 2 63 9" xfId="32697"/>
    <cellStyle name="表体文字居中(小) 2 64" xfId="32699"/>
    <cellStyle name="表体文字居中(小) 2 64 10" xfId="32701"/>
    <cellStyle name="表体文字居中(小) 2 64 2" xfId="32703"/>
    <cellStyle name="表体文字居中(小) 2 64 2 2" xfId="49"/>
    <cellStyle name="表体文字居中(小) 2 64 2 3" xfId="32705"/>
    <cellStyle name="表体文字居中(小) 2 64 2 4" xfId="32707"/>
    <cellStyle name="表体文字居中(小) 2 64 2 5" xfId="32709"/>
    <cellStyle name="表体文字居中(小) 2 64 2 6" xfId="32711"/>
    <cellStyle name="表体文字居中(小) 2 64 2 7" xfId="32713"/>
    <cellStyle name="表体文字居中(小) 2 64 2 8" xfId="32715"/>
    <cellStyle name="表体文字居中(小) 2 64 3" xfId="32717"/>
    <cellStyle name="表体文字居中(小) 2 64 3 2" xfId="32719"/>
    <cellStyle name="表体文字居中(小) 2 64 3 3" xfId="32721"/>
    <cellStyle name="表体文字居中(小) 2 64 3 4" xfId="32722"/>
    <cellStyle name="表体文字居中(小) 2 64 3 5" xfId="32724"/>
    <cellStyle name="表体文字居中(小) 2 64 3 6" xfId="32726"/>
    <cellStyle name="表体文字居中(小) 2 64 3 7" xfId="4233"/>
    <cellStyle name="表体文字居中(小) 2 64 3 8" xfId="4236"/>
    <cellStyle name="表体文字居中(小) 2 64 4" xfId="32728"/>
    <cellStyle name="表体文字居中(小) 2 64 5" xfId="32730"/>
    <cellStyle name="表体文字居中(小) 2 64 6" xfId="32732"/>
    <cellStyle name="表体文字居中(小) 2 64 7" xfId="32734"/>
    <cellStyle name="表体文字居中(小) 2 64 8" xfId="32736"/>
    <cellStyle name="表体文字居中(小) 2 64 9" xfId="32738"/>
    <cellStyle name="表体文字居中(小) 2 65" xfId="32748"/>
    <cellStyle name="表体文字居中(小) 2 65 10" xfId="12604"/>
    <cellStyle name="表体文字居中(小) 2 65 2" xfId="32749"/>
    <cellStyle name="表体文字居中(小) 2 65 2 2" xfId="584"/>
    <cellStyle name="表体文字居中(小) 2 65 2 3" xfId="32750"/>
    <cellStyle name="表体文字居中(小) 2 65 2 4" xfId="32751"/>
    <cellStyle name="表体文字居中(小) 2 65 2 5" xfId="32752"/>
    <cellStyle name="表体文字居中(小) 2 65 2 6" xfId="32753"/>
    <cellStyle name="表体文字居中(小) 2 65 2 7" xfId="32754"/>
    <cellStyle name="表体文字居中(小) 2 65 2 8" xfId="32755"/>
    <cellStyle name="表体文字居中(小) 2 65 3" xfId="12001"/>
    <cellStyle name="表体文字居中(小) 2 65 3 2" xfId="12010"/>
    <cellStyle name="表体文字居中(小) 2 65 3 3" xfId="12018"/>
    <cellStyle name="表体文字居中(小) 2 65 3 4" xfId="12024"/>
    <cellStyle name="表体文字居中(小) 2 65 3 5" xfId="12030"/>
    <cellStyle name="表体文字居中(小) 2 65 3 6" xfId="12036"/>
    <cellStyle name="表体文字居中(小) 2 65 3 7" xfId="12044"/>
    <cellStyle name="表体文字居中(小) 2 65 3 8" xfId="12054"/>
    <cellStyle name="表体文字居中(小) 2 65 4" xfId="12061"/>
    <cellStyle name="表体文字居中(小) 2 65 5" xfId="12101"/>
    <cellStyle name="表体文字居中(小) 2 65 6" xfId="12105"/>
    <cellStyle name="表体文字居中(小) 2 65 7" xfId="12107"/>
    <cellStyle name="表体文字居中(小) 2 65 8" xfId="12109"/>
    <cellStyle name="表体文字居中(小) 2 65 9" xfId="12121"/>
    <cellStyle name="表体文字居中(小) 2 66" xfId="5801"/>
    <cellStyle name="表体文字居中(小) 2 66 2" xfId="32756"/>
    <cellStyle name="表体文字居中(小) 2 66 3" xfId="32757"/>
    <cellStyle name="表体文字居中(小) 2 66 4" xfId="32758"/>
    <cellStyle name="表体文字居中(小) 2 66 5" xfId="32759"/>
    <cellStyle name="表体文字居中(小) 2 66 6" xfId="32760"/>
    <cellStyle name="表体文字居中(小) 2 66 7" xfId="6258"/>
    <cellStyle name="表体文字居中(小) 2 66 8" xfId="6260"/>
    <cellStyle name="表体文字居中(小) 2 67" xfId="5663"/>
    <cellStyle name="表体文字居中(小) 2 67 2" xfId="32761"/>
    <cellStyle name="表体文字居中(小) 2 67 3" xfId="32762"/>
    <cellStyle name="表体文字居中(小) 2 67 4" xfId="32763"/>
    <cellStyle name="表体文字居中(小) 2 67 5" xfId="32764"/>
    <cellStyle name="表体文字居中(小) 2 67 6" xfId="32765"/>
    <cellStyle name="表体文字居中(小) 2 67 7" xfId="6264"/>
    <cellStyle name="表体文字居中(小) 2 67 8" xfId="6266"/>
    <cellStyle name="表体文字居中(小) 2 68" xfId="5670"/>
    <cellStyle name="表体文字居中(小) 2 69" xfId="3972"/>
    <cellStyle name="表体文字居中(小) 2 7" xfId="5025"/>
    <cellStyle name="表体文字居中(小) 2 7 10" xfId="32766"/>
    <cellStyle name="表体文字居中(小) 2 7 2" xfId="5027"/>
    <cellStyle name="表体文字居中(小) 2 7 2 2" xfId="25211"/>
    <cellStyle name="表体文字居中(小) 2 7 2 3" xfId="32767"/>
    <cellStyle name="表体文字居中(小) 2 7 2 4" xfId="32768"/>
    <cellStyle name="表体文字居中(小) 2 7 2 5" xfId="32769"/>
    <cellStyle name="表体文字居中(小) 2 7 2 6" xfId="32770"/>
    <cellStyle name="表体文字居中(小) 2 7 2 7" xfId="32771"/>
    <cellStyle name="表体文字居中(小) 2 7 2 8" xfId="32772"/>
    <cellStyle name="表体文字居中(小) 2 7 3" xfId="5030"/>
    <cellStyle name="表体文字居中(小) 2 7 3 2" xfId="11685"/>
    <cellStyle name="表体文字居中(小) 2 7 3 3" xfId="11692"/>
    <cellStyle name="表体文字居中(小) 2 7 3 4" xfId="11704"/>
    <cellStyle name="表体文字居中(小) 2 7 3 5" xfId="11412"/>
    <cellStyle name="表体文字居中(小) 2 7 3 6" xfId="11416"/>
    <cellStyle name="表体文字居中(小) 2 7 3 7" xfId="11420"/>
    <cellStyle name="表体文字居中(小) 2 7 3 8" xfId="11425"/>
    <cellStyle name="表体文字居中(小) 2 7 4" xfId="11731"/>
    <cellStyle name="表体文字居中(小) 2 7 5" xfId="11778"/>
    <cellStyle name="表体文字居中(小) 2 7 6" xfId="11786"/>
    <cellStyle name="表体文字居中(小) 2 7 7" xfId="11788"/>
    <cellStyle name="表体文字居中(小) 2 7 8" xfId="11790"/>
    <cellStyle name="表体文字居中(小) 2 7 9" xfId="11792"/>
    <cellStyle name="表体文字居中(小) 2 70" xfId="32747"/>
    <cellStyle name="表体文字居中(小) 2 71" xfId="5802"/>
    <cellStyle name="表体文字居中(小) 2 72" xfId="5664"/>
    <cellStyle name="表体文字居中(小) 2 73" xfId="5671"/>
    <cellStyle name="表体文字居中(小) 2 74" xfId="3971"/>
    <cellStyle name="表体文字居中(小) 2 8" xfId="5035"/>
    <cellStyle name="表体文字居中(小) 2 8 10" xfId="32773"/>
    <cellStyle name="表体文字居中(小) 2 8 2" xfId="5038"/>
    <cellStyle name="表体文字居中(小) 2 8 2 2" xfId="25238"/>
    <cellStyle name="表体文字居中(小) 2 8 2 3" xfId="32774"/>
    <cellStyle name="表体文字居中(小) 2 8 2 4" xfId="32775"/>
    <cellStyle name="表体文字居中(小) 2 8 2 5" xfId="32776"/>
    <cellStyle name="表体文字居中(小) 2 8 2 6" xfId="32777"/>
    <cellStyle name="表体文字居中(小) 2 8 2 7" xfId="32778"/>
    <cellStyle name="表体文字居中(小) 2 8 2 8" xfId="32779"/>
    <cellStyle name="表体文字居中(小) 2 8 3" xfId="5040"/>
    <cellStyle name="表体文字居中(小) 2 8 3 2" xfId="25972"/>
    <cellStyle name="表体文字居中(小) 2 8 3 3" xfId="25976"/>
    <cellStyle name="表体文字居中(小) 2 8 3 4" xfId="25980"/>
    <cellStyle name="表体文字居中(小) 2 8 3 5" xfId="11458"/>
    <cellStyle name="表体文字居中(小) 2 8 3 6" xfId="11461"/>
    <cellStyle name="表体文字居中(小) 2 8 3 7" xfId="11464"/>
    <cellStyle name="表体文字居中(小) 2 8 3 8" xfId="11468"/>
    <cellStyle name="表体文字居中(小) 2 8 4" xfId="32780"/>
    <cellStyle name="表体文字居中(小) 2 8 5" xfId="17149"/>
    <cellStyle name="表体文字居中(小) 2 8 6" xfId="17152"/>
    <cellStyle name="表体文字居中(小) 2 8 7" xfId="5807"/>
    <cellStyle name="表体文字居中(小) 2 8 8" xfId="17155"/>
    <cellStyle name="表体文字居中(小) 2 8 9" xfId="17158"/>
    <cellStyle name="表体文字居中(小) 2 9" xfId="4772"/>
    <cellStyle name="表体文字居中(小) 2 9 10" xfId="30319"/>
    <cellStyle name="表体文字居中(小) 2 9 2" xfId="5042"/>
    <cellStyle name="表体文字居中(小) 2 9 2 2" xfId="32781"/>
    <cellStyle name="表体文字居中(小) 2 9 2 3" xfId="32782"/>
    <cellStyle name="表体文字居中(小) 2 9 2 4" xfId="32783"/>
    <cellStyle name="表体文字居中(小) 2 9 2 5" xfId="32784"/>
    <cellStyle name="表体文字居中(小) 2 9 2 6" xfId="25326"/>
    <cellStyle name="表体文字居中(小) 2 9 2 7" xfId="32785"/>
    <cellStyle name="表体文字居中(小) 2 9 2 8" xfId="32786"/>
    <cellStyle name="表体文字居中(小) 2 9 3" xfId="5044"/>
    <cellStyle name="表体文字居中(小) 2 9 3 2" xfId="25996"/>
    <cellStyle name="表体文字居中(小) 2 9 3 3" xfId="25999"/>
    <cellStyle name="表体文字居中(小) 2 9 3 4" xfId="26002"/>
    <cellStyle name="表体文字居中(小) 2 9 3 5" xfId="11491"/>
    <cellStyle name="表体文字居中(小) 2 9 3 6" xfId="11494"/>
    <cellStyle name="表体文字居中(小) 2 9 3 7" xfId="11497"/>
    <cellStyle name="表体文字居中(小) 2 9 3 8" xfId="3682"/>
    <cellStyle name="表体文字居中(小) 2 9 4" xfId="32787"/>
    <cellStyle name="表体文字居中(小) 2 9 5" xfId="17165"/>
    <cellStyle name="表体文字居中(小) 2 9 6" xfId="17168"/>
    <cellStyle name="表体文字居中(小) 2 9 7" xfId="17171"/>
    <cellStyle name="表体文字居中(小) 2 9 8" xfId="17174"/>
    <cellStyle name="表体文字居中(小) 2 9 9" xfId="17177"/>
    <cellStyle name="表体文字居中(小) 20" xfId="31693"/>
    <cellStyle name="表体文字居中(小) 20 10" xfId="31695"/>
    <cellStyle name="表体文字居中(小) 20 2" xfId="31697"/>
    <cellStyle name="表体文字居中(小) 20 2 2" xfId="31699"/>
    <cellStyle name="表体文字居中(小) 20 2 3" xfId="31701"/>
    <cellStyle name="表体文字居中(小) 20 2 4" xfId="31703"/>
    <cellStyle name="表体文字居中(小) 20 2 5" xfId="31705"/>
    <cellStyle name="表体文字居中(小) 20 2 6" xfId="31707"/>
    <cellStyle name="表体文字居中(小) 20 2 7" xfId="31709"/>
    <cellStyle name="表体文字居中(小) 20 2 8" xfId="31711"/>
    <cellStyle name="表体文字居中(小) 20 3" xfId="31713"/>
    <cellStyle name="表体文字居中(小) 20 3 2" xfId="31715"/>
    <cellStyle name="表体文字居中(小) 20 3 3" xfId="31717"/>
    <cellStyle name="表体文字居中(小) 20 3 4" xfId="31719"/>
    <cellStyle name="表体文字居中(小) 20 3 5" xfId="31721"/>
    <cellStyle name="表体文字居中(小) 20 3 6" xfId="31723"/>
    <cellStyle name="表体文字居中(小) 20 3 7" xfId="31725"/>
    <cellStyle name="表体文字居中(小) 20 3 8" xfId="31727"/>
    <cellStyle name="表体文字居中(小) 20 4" xfId="31729"/>
    <cellStyle name="表体文字居中(小) 20 5" xfId="31731"/>
    <cellStyle name="表体文字居中(小) 20 6" xfId="31733"/>
    <cellStyle name="表体文字居中(小) 20 7" xfId="31735"/>
    <cellStyle name="表体文字居中(小) 20 8" xfId="31737"/>
    <cellStyle name="表体文字居中(小) 20 9" xfId="31739"/>
    <cellStyle name="表体文字居中(小) 21" xfId="24570"/>
    <cellStyle name="表体文字居中(小) 21 10" xfId="8923"/>
    <cellStyle name="表体文字居中(小) 21 2" xfId="24574"/>
    <cellStyle name="表体文字居中(小) 21 2 2" xfId="31741"/>
    <cellStyle name="表体文字居中(小) 21 2 3" xfId="31743"/>
    <cellStyle name="表体文字居中(小) 21 2 4" xfId="31745"/>
    <cellStyle name="表体文字居中(小) 21 2 5" xfId="31747"/>
    <cellStyle name="表体文字居中(小) 21 2 6" xfId="31749"/>
    <cellStyle name="表体文字居中(小) 21 2 7" xfId="31751"/>
    <cellStyle name="表体文字居中(小) 21 2 8" xfId="31753"/>
    <cellStyle name="表体文字居中(小) 21 3" xfId="24578"/>
    <cellStyle name="表体文字居中(小) 21 3 2" xfId="31755"/>
    <cellStyle name="表体文字居中(小) 21 3 3" xfId="31757"/>
    <cellStyle name="表体文字居中(小) 21 3 4" xfId="31759"/>
    <cellStyle name="表体文字居中(小) 21 3 5" xfId="31761"/>
    <cellStyle name="表体文字居中(小) 21 3 6" xfId="31763"/>
    <cellStyle name="表体文字居中(小) 21 3 7" xfId="31765"/>
    <cellStyle name="表体文字居中(小) 21 3 8" xfId="31767"/>
    <cellStyle name="表体文字居中(小) 21 4" xfId="24582"/>
    <cellStyle name="表体文字居中(小) 21 5" xfId="24586"/>
    <cellStyle name="表体文字居中(小) 21 6" xfId="24590"/>
    <cellStyle name="表体文字居中(小) 21 7" xfId="24594"/>
    <cellStyle name="表体文字居中(小) 21 8" xfId="24598"/>
    <cellStyle name="表体文字居中(小) 21 9" xfId="31769"/>
    <cellStyle name="表体文字居中(小) 22" xfId="24602"/>
    <cellStyle name="表体文字居中(小) 22 10" xfId="8950"/>
    <cellStyle name="表体文字居中(小) 22 2" xfId="24606"/>
    <cellStyle name="表体文字居中(小) 22 2 2" xfId="31771"/>
    <cellStyle name="表体文字居中(小) 22 2 3" xfId="31773"/>
    <cellStyle name="表体文字居中(小) 22 2 4" xfId="31775"/>
    <cellStyle name="表体文字居中(小) 22 2 5" xfId="31777"/>
    <cellStyle name="表体文字居中(小) 22 2 6" xfId="31779"/>
    <cellStyle name="表体文字居中(小) 22 2 7" xfId="31781"/>
    <cellStyle name="表体文字居中(小) 22 2 8" xfId="31783"/>
    <cellStyle name="表体文字居中(小) 22 3" xfId="24610"/>
    <cellStyle name="表体文字居中(小) 22 3 2" xfId="31785"/>
    <cellStyle name="表体文字居中(小) 22 3 3" xfId="31787"/>
    <cellStyle name="表体文字居中(小) 22 3 4" xfId="31789"/>
    <cellStyle name="表体文字居中(小) 22 3 5" xfId="31791"/>
    <cellStyle name="表体文字居中(小) 22 3 6" xfId="31793"/>
    <cellStyle name="表体文字居中(小) 22 3 7" xfId="31795"/>
    <cellStyle name="表体文字居中(小) 22 3 8" xfId="31797"/>
    <cellStyle name="表体文字居中(小) 22 4" xfId="24614"/>
    <cellStyle name="表体文字居中(小) 22 5" xfId="24618"/>
    <cellStyle name="表体文字居中(小) 22 6" xfId="24622"/>
    <cellStyle name="表体文字居中(小) 22 7" xfId="24626"/>
    <cellStyle name="表体文字居中(小) 22 8" xfId="24630"/>
    <cellStyle name="表体文字居中(小) 22 9" xfId="31799"/>
    <cellStyle name="表体文字居中(小) 23" xfId="24634"/>
    <cellStyle name="表体文字居中(小) 23 10" xfId="31801"/>
    <cellStyle name="表体文字居中(小) 23 2" xfId="14685"/>
    <cellStyle name="表体文字居中(小) 23 2 2" xfId="31803"/>
    <cellStyle name="表体文字居中(小) 23 2 3" xfId="31805"/>
    <cellStyle name="表体文字居中(小) 23 2 4" xfId="31807"/>
    <cellStyle name="表体文字居中(小) 23 2 5" xfId="1917"/>
    <cellStyle name="表体文字居中(小) 23 2 6" xfId="1920"/>
    <cellStyle name="表体文字居中(小) 23 2 7" xfId="1680"/>
    <cellStyle name="表体文字居中(小) 23 2 8" xfId="157"/>
    <cellStyle name="表体文字居中(小) 23 3" xfId="14691"/>
    <cellStyle name="表体文字居中(小) 23 3 2" xfId="31809"/>
    <cellStyle name="表体文字居中(小) 23 3 3" xfId="31811"/>
    <cellStyle name="表体文字居中(小) 23 3 4" xfId="31813"/>
    <cellStyle name="表体文字居中(小) 23 3 5" xfId="31815"/>
    <cellStyle name="表体文字居中(小) 23 3 6" xfId="31817"/>
    <cellStyle name="表体文字居中(小) 23 3 7" xfId="31819"/>
    <cellStyle name="表体文字居中(小) 23 3 8" xfId="31821"/>
    <cellStyle name="表体文字居中(小) 23 4" xfId="14695"/>
    <cellStyle name="表体文字居中(小) 23 5" xfId="14699"/>
    <cellStyle name="表体文字居中(小) 23 6" xfId="14703"/>
    <cellStyle name="表体文字居中(小) 23 7" xfId="14709"/>
    <cellStyle name="表体文字居中(小) 23 8" xfId="27000"/>
    <cellStyle name="表体文字居中(小) 23 9" xfId="27004"/>
    <cellStyle name="表体文字居中(小) 24" xfId="24638"/>
    <cellStyle name="表体文字居中(小) 24 10" xfId="30110"/>
    <cellStyle name="表体文字居中(小) 24 2" xfId="14715"/>
    <cellStyle name="表体文字居中(小) 24 2 2" xfId="8775"/>
    <cellStyle name="表体文字居中(小) 24 2 3" xfId="31823"/>
    <cellStyle name="表体文字居中(小) 24 2 4" xfId="31825"/>
    <cellStyle name="表体文字居中(小) 24 2 5" xfId="31827"/>
    <cellStyle name="表体文字居中(小) 24 2 6" xfId="31829"/>
    <cellStyle name="表体文字居中(小) 24 2 7" xfId="31831"/>
    <cellStyle name="表体文字居中(小) 24 2 8" xfId="31833"/>
    <cellStyle name="表体文字居中(小) 24 3" xfId="14719"/>
    <cellStyle name="表体文字居中(小) 24 3 2" xfId="8780"/>
    <cellStyle name="表体文字居中(小) 24 3 3" xfId="31835"/>
    <cellStyle name="表体文字居中(小) 24 3 4" xfId="31837"/>
    <cellStyle name="表体文字居中(小) 24 3 5" xfId="31839"/>
    <cellStyle name="表体文字居中(小) 24 3 6" xfId="31841"/>
    <cellStyle name="表体文字居中(小) 24 3 7" xfId="31843"/>
    <cellStyle name="表体文字居中(小) 24 3 8" xfId="31845"/>
    <cellStyle name="表体文字居中(小) 24 4" xfId="14723"/>
    <cellStyle name="表体文字居中(小) 24 5" xfId="14727"/>
    <cellStyle name="表体文字居中(小) 24 6" xfId="14731"/>
    <cellStyle name="表体文字居中(小) 24 7" xfId="14737"/>
    <cellStyle name="表体文字居中(小) 24 8" xfId="27016"/>
    <cellStyle name="表体文字居中(小) 24 9" xfId="27020"/>
    <cellStyle name="表体文字居中(小) 25" xfId="24641"/>
    <cellStyle name="表体文字居中(小) 25 10" xfId="32789"/>
    <cellStyle name="表体文字居中(小) 25 2" xfId="32791"/>
    <cellStyle name="表体文字居中(小) 25 2 2" xfId="8806"/>
    <cellStyle name="表体文字居中(小) 25 2 3" xfId="32793"/>
    <cellStyle name="表体文字居中(小) 25 2 4" xfId="32795"/>
    <cellStyle name="表体文字居中(小) 25 2 5" xfId="32797"/>
    <cellStyle name="表体文字居中(小) 25 2 6" xfId="32799"/>
    <cellStyle name="表体文字居中(小) 25 2 7" xfId="32801"/>
    <cellStyle name="表体文字居中(小) 25 2 8" xfId="32803"/>
    <cellStyle name="表体文字居中(小) 25 3" xfId="32805"/>
    <cellStyle name="表体文字居中(小) 25 3 2" xfId="8811"/>
    <cellStyle name="表体文字居中(小) 25 3 3" xfId="32807"/>
    <cellStyle name="表体文字居中(小) 25 3 4" xfId="32809"/>
    <cellStyle name="表体文字居中(小) 25 3 5" xfId="32811"/>
    <cellStyle name="表体文字居中(小) 25 3 6" xfId="32813"/>
    <cellStyle name="表体文字居中(小) 25 3 7" xfId="32815"/>
    <cellStyle name="表体文字居中(小) 25 3 8" xfId="32817"/>
    <cellStyle name="表体文字居中(小) 25 4" xfId="32819"/>
    <cellStyle name="表体文字居中(小) 25 5" xfId="32821"/>
    <cellStyle name="表体文字居中(小) 25 6" xfId="32823"/>
    <cellStyle name="表体文字居中(小) 25 7" xfId="32825"/>
    <cellStyle name="表体文字居中(小) 25 8" xfId="32827"/>
    <cellStyle name="表体文字居中(小) 25 9" xfId="32829"/>
    <cellStyle name="表体文字居中(小) 26" xfId="24645"/>
    <cellStyle name="表体文字居中(小) 26 10" xfId="32831"/>
    <cellStyle name="表体文字居中(小) 26 2" xfId="32833"/>
    <cellStyle name="表体文字居中(小) 26 2 2" xfId="32835"/>
    <cellStyle name="表体文字居中(小) 26 2 3" xfId="32837"/>
    <cellStyle name="表体文字居中(小) 26 2 4" xfId="32839"/>
    <cellStyle name="表体文字居中(小) 26 2 5" xfId="32841"/>
    <cellStyle name="表体文字居中(小) 26 2 6" xfId="32843"/>
    <cellStyle name="表体文字居中(小) 26 2 7" xfId="32845"/>
    <cellStyle name="表体文字居中(小) 26 2 8" xfId="32847"/>
    <cellStyle name="表体文字居中(小) 26 3" xfId="32849"/>
    <cellStyle name="表体文字居中(小) 26 3 2" xfId="32851"/>
    <cellStyle name="表体文字居中(小) 26 3 3" xfId="32853"/>
    <cellStyle name="表体文字居中(小) 26 3 4" xfId="32855"/>
    <cellStyle name="表体文字居中(小) 26 3 5" xfId="32857"/>
    <cellStyle name="表体文字居中(小) 26 3 6" xfId="32859"/>
    <cellStyle name="表体文字居中(小) 26 3 7" xfId="32861"/>
    <cellStyle name="表体文字居中(小) 26 3 8" xfId="32863"/>
    <cellStyle name="表体文字居中(小) 26 4" xfId="32865"/>
    <cellStyle name="表体文字居中(小) 26 5" xfId="32867"/>
    <cellStyle name="表体文字居中(小) 26 6" xfId="32869"/>
    <cellStyle name="表体文字居中(小) 26 7" xfId="32871"/>
    <cellStyle name="表体文字居中(小) 26 8" xfId="32873"/>
    <cellStyle name="表体文字居中(小) 26 9" xfId="32875"/>
    <cellStyle name="表体文字居中(小) 27" xfId="24649"/>
    <cellStyle name="表体文字居中(小) 27 10" xfId="8124"/>
    <cellStyle name="表体文字居中(小) 27 2" xfId="32877"/>
    <cellStyle name="表体文字居中(小) 27 2 2" xfId="32879"/>
    <cellStyle name="表体文字居中(小) 27 2 3" xfId="32881"/>
    <cellStyle name="表体文字居中(小) 27 2 4" xfId="32883"/>
    <cellStyle name="表体文字居中(小) 27 2 5" xfId="32885"/>
    <cellStyle name="表体文字居中(小) 27 2 6" xfId="32887"/>
    <cellStyle name="表体文字居中(小) 27 2 7" xfId="32889"/>
    <cellStyle name="表体文字居中(小) 27 2 8" xfId="32891"/>
    <cellStyle name="表体文字居中(小) 27 3" xfId="32893"/>
    <cellStyle name="表体文字居中(小) 27 3 2" xfId="32895"/>
    <cellStyle name="表体文字居中(小) 27 3 3" xfId="32897"/>
    <cellStyle name="表体文字居中(小) 27 3 4" xfId="32899"/>
    <cellStyle name="表体文字居中(小) 27 3 5" xfId="32901"/>
    <cellStyle name="表体文字居中(小) 27 3 6" xfId="32903"/>
    <cellStyle name="表体文字居中(小) 27 3 7" xfId="32905"/>
    <cellStyle name="表体文字居中(小) 27 3 8" xfId="32907"/>
    <cellStyle name="表体文字居中(小) 27 4" xfId="32909"/>
    <cellStyle name="表体文字居中(小) 27 5" xfId="32911"/>
    <cellStyle name="表体文字居中(小) 27 6" xfId="32913"/>
    <cellStyle name="表体文字居中(小) 27 7" xfId="32915"/>
    <cellStyle name="表体文字居中(小) 27 8" xfId="32917"/>
    <cellStyle name="表体文字居中(小) 27 9" xfId="32919"/>
    <cellStyle name="表体文字居中(小) 28" xfId="24653"/>
    <cellStyle name="表体文字居中(小) 28 10" xfId="32921"/>
    <cellStyle name="表体文字居中(小) 28 2" xfId="32923"/>
    <cellStyle name="表体文字居中(小) 28 2 2" xfId="32925"/>
    <cellStyle name="表体文字居中(小) 28 2 3" xfId="32927"/>
    <cellStyle name="表体文字居中(小) 28 2 4" xfId="32929"/>
    <cellStyle name="表体文字居中(小) 28 2 5" xfId="32931"/>
    <cellStyle name="表体文字居中(小) 28 2 6" xfId="32933"/>
    <cellStyle name="表体文字居中(小) 28 2 7" xfId="32935"/>
    <cellStyle name="表体文字居中(小) 28 2 8" xfId="32937"/>
    <cellStyle name="表体文字居中(小) 28 3" xfId="21740"/>
    <cellStyle name="表体文字居中(小) 28 3 2" xfId="32939"/>
    <cellStyle name="表体文字居中(小) 28 3 3" xfId="32941"/>
    <cellStyle name="表体文字居中(小) 28 3 4" xfId="32943"/>
    <cellStyle name="表体文字居中(小) 28 3 5" xfId="4223"/>
    <cellStyle name="表体文字居中(小) 28 3 6" xfId="4229"/>
    <cellStyle name="表体文字居中(小) 28 3 7" xfId="32945"/>
    <cellStyle name="表体文字居中(小) 28 3 8" xfId="32947"/>
    <cellStyle name="表体文字居中(小) 28 4" xfId="32949"/>
    <cellStyle name="表体文字居中(小) 28 5" xfId="32951"/>
    <cellStyle name="表体文字居中(小) 28 6" xfId="32953"/>
    <cellStyle name="表体文字居中(小) 28 7" xfId="32955"/>
    <cellStyle name="表体文字居中(小) 28 8" xfId="32957"/>
    <cellStyle name="表体文字居中(小) 28 9" xfId="32959"/>
    <cellStyle name="表体文字居中(小) 29" xfId="25260"/>
    <cellStyle name="表体文字居中(小) 29 10" xfId="30132"/>
    <cellStyle name="表体文字居中(小) 29 2" xfId="32961"/>
    <cellStyle name="表体文字居中(小) 29 2 2" xfId="32963"/>
    <cellStyle name="表体文字居中(小) 29 2 3" xfId="32965"/>
    <cellStyle name="表体文字居中(小) 29 2 4" xfId="32967"/>
    <cellStyle name="表体文字居中(小) 29 2 5" xfId="32969"/>
    <cellStyle name="表体文字居中(小) 29 2 6" xfId="32971"/>
    <cellStyle name="表体文字居中(小) 29 2 7" xfId="32973"/>
    <cellStyle name="表体文字居中(小) 29 2 8" xfId="32975"/>
    <cellStyle name="表体文字居中(小) 29 3" xfId="6049"/>
    <cellStyle name="表体文字居中(小) 29 3 2" xfId="32977"/>
    <cellStyle name="表体文字居中(小) 29 3 3" xfId="32979"/>
    <cellStyle name="表体文字居中(小) 29 3 4" xfId="32981"/>
    <cellStyle name="表体文字居中(小) 29 3 5" xfId="32983"/>
    <cellStyle name="表体文字居中(小) 29 3 6" xfId="32985"/>
    <cellStyle name="表体文字居中(小) 29 3 7" xfId="32987"/>
    <cellStyle name="表体文字居中(小) 29 3 8" xfId="32989"/>
    <cellStyle name="表体文字居中(小) 29 4" xfId="6056"/>
    <cellStyle name="表体文字居中(小) 29 5" xfId="32991"/>
    <cellStyle name="表体文字居中(小) 29 6" xfId="32993"/>
    <cellStyle name="表体文字居中(小) 29 7" xfId="32995"/>
    <cellStyle name="表体文字居中(小) 29 8" xfId="32997"/>
    <cellStyle name="表体文字居中(小) 29 9" xfId="32999"/>
    <cellStyle name="表体文字居中(小) 3" xfId="11014"/>
    <cellStyle name="表体文字居中(小) 3 10" xfId="33000"/>
    <cellStyle name="表体文字居中(小) 3 2" xfId="33001"/>
    <cellStyle name="表体文字居中(小) 3 2 2" xfId="33002"/>
    <cellStyle name="表体文字居中(小) 3 2 3" xfId="18431"/>
    <cellStyle name="表体文字居中(小) 3 2 4" xfId="18434"/>
    <cellStyle name="表体文字居中(小) 3 2 5" xfId="18437"/>
    <cellStyle name="表体文字居中(小) 3 2 6" xfId="18440"/>
    <cellStyle name="表体文字居中(小) 3 2 7" xfId="18443"/>
    <cellStyle name="表体文字居中(小) 3 2 8" xfId="18446"/>
    <cellStyle name="表体文字居中(小) 3 3" xfId="33003"/>
    <cellStyle name="表体文字居中(小) 3 3 2" xfId="33004"/>
    <cellStyle name="表体文字居中(小) 3 3 3" xfId="18453"/>
    <cellStyle name="表体文字居中(小) 3 3 4" xfId="18456"/>
    <cellStyle name="表体文字居中(小) 3 3 5" xfId="18459"/>
    <cellStyle name="表体文字居中(小) 3 3 6" xfId="18462"/>
    <cellStyle name="表体文字居中(小) 3 3 7" xfId="18465"/>
    <cellStyle name="表体文字居中(小) 3 3 8" xfId="18468"/>
    <cellStyle name="表体文字居中(小) 3 4" xfId="5056"/>
    <cellStyle name="表体文字居中(小) 3 5" xfId="5058"/>
    <cellStyle name="表体文字居中(小) 3 6" xfId="33005"/>
    <cellStyle name="表体文字居中(小) 3 7" xfId="33006"/>
    <cellStyle name="表体文字居中(小) 3 8" xfId="33007"/>
    <cellStyle name="表体文字居中(小) 3 9" xfId="4786"/>
    <cellStyle name="表体文字居中(小) 30" xfId="24642"/>
    <cellStyle name="表体文字居中(小) 30 10" xfId="32788"/>
    <cellStyle name="表体文字居中(小) 30 2" xfId="32790"/>
    <cellStyle name="表体文字居中(小) 30 2 2" xfId="8807"/>
    <cellStyle name="表体文字居中(小) 30 2 3" xfId="32792"/>
    <cellStyle name="表体文字居中(小) 30 2 4" xfId="32794"/>
    <cellStyle name="表体文字居中(小) 30 2 5" xfId="32796"/>
    <cellStyle name="表体文字居中(小) 30 2 6" xfId="32798"/>
    <cellStyle name="表体文字居中(小) 30 2 7" xfId="32800"/>
    <cellStyle name="表体文字居中(小) 30 2 8" xfId="32802"/>
    <cellStyle name="表体文字居中(小) 30 3" xfId="32804"/>
    <cellStyle name="表体文字居中(小) 30 3 2" xfId="8812"/>
    <cellStyle name="表体文字居中(小) 30 3 3" xfId="32806"/>
    <cellStyle name="表体文字居中(小) 30 3 4" xfId="32808"/>
    <cellStyle name="表体文字居中(小) 30 3 5" xfId="32810"/>
    <cellStyle name="表体文字居中(小) 30 3 6" xfId="32812"/>
    <cellStyle name="表体文字居中(小) 30 3 7" xfId="32814"/>
    <cellStyle name="表体文字居中(小) 30 3 8" xfId="32816"/>
    <cellStyle name="表体文字居中(小) 30 4" xfId="32818"/>
    <cellStyle name="表体文字居中(小) 30 5" xfId="32820"/>
    <cellStyle name="表体文字居中(小) 30 6" xfId="32822"/>
    <cellStyle name="表体文字居中(小) 30 7" xfId="32824"/>
    <cellStyle name="表体文字居中(小) 30 8" xfId="32826"/>
    <cellStyle name="表体文字居中(小) 30 9" xfId="32828"/>
    <cellStyle name="表体文字居中(小) 31" xfId="24646"/>
    <cellStyle name="表体文字居中(小) 31 10" xfId="32830"/>
    <cellStyle name="表体文字居中(小) 31 2" xfId="32832"/>
    <cellStyle name="表体文字居中(小) 31 2 2" xfId="32834"/>
    <cellStyle name="表体文字居中(小) 31 2 3" xfId="32836"/>
    <cellStyle name="表体文字居中(小) 31 2 4" xfId="32838"/>
    <cellStyle name="表体文字居中(小) 31 2 5" xfId="32840"/>
    <cellStyle name="表体文字居中(小) 31 2 6" xfId="32842"/>
    <cellStyle name="表体文字居中(小) 31 2 7" xfId="32844"/>
    <cellStyle name="表体文字居中(小) 31 2 8" xfId="32846"/>
    <cellStyle name="表体文字居中(小) 31 3" xfId="32848"/>
    <cellStyle name="表体文字居中(小) 31 3 2" xfId="32850"/>
    <cellStyle name="表体文字居中(小) 31 3 3" xfId="32852"/>
    <cellStyle name="表体文字居中(小) 31 3 4" xfId="32854"/>
    <cellStyle name="表体文字居中(小) 31 3 5" xfId="32856"/>
    <cellStyle name="表体文字居中(小) 31 3 6" xfId="32858"/>
    <cellStyle name="表体文字居中(小) 31 3 7" xfId="32860"/>
    <cellStyle name="表体文字居中(小) 31 3 8" xfId="32862"/>
    <cellStyle name="表体文字居中(小) 31 4" xfId="32864"/>
    <cellStyle name="表体文字居中(小) 31 5" xfId="32866"/>
    <cellStyle name="表体文字居中(小) 31 6" xfId="32868"/>
    <cellStyle name="表体文字居中(小) 31 7" xfId="32870"/>
    <cellStyle name="表体文字居中(小) 31 8" xfId="32872"/>
    <cellStyle name="表体文字居中(小) 31 9" xfId="32874"/>
    <cellStyle name="表体文字居中(小) 32" xfId="24650"/>
    <cellStyle name="表体文字居中(小) 32 10" xfId="8125"/>
    <cellStyle name="表体文字居中(小) 32 2" xfId="32876"/>
    <cellStyle name="表体文字居中(小) 32 2 2" xfId="32878"/>
    <cellStyle name="表体文字居中(小) 32 2 3" xfId="32880"/>
    <cellStyle name="表体文字居中(小) 32 2 4" xfId="32882"/>
    <cellStyle name="表体文字居中(小) 32 2 5" xfId="32884"/>
    <cellStyle name="表体文字居中(小) 32 2 6" xfId="32886"/>
    <cellStyle name="表体文字居中(小) 32 2 7" xfId="32888"/>
    <cellStyle name="表体文字居中(小) 32 2 8" xfId="32890"/>
    <cellStyle name="表体文字居中(小) 32 3" xfId="32892"/>
    <cellStyle name="表体文字居中(小) 32 3 2" xfId="32894"/>
    <cellStyle name="表体文字居中(小) 32 3 3" xfId="32896"/>
    <cellStyle name="表体文字居中(小) 32 3 4" xfId="32898"/>
    <cellStyle name="表体文字居中(小) 32 3 5" xfId="32900"/>
    <cellStyle name="表体文字居中(小) 32 3 6" xfId="32902"/>
    <cellStyle name="表体文字居中(小) 32 3 7" xfId="32904"/>
    <cellStyle name="表体文字居中(小) 32 3 8" xfId="32906"/>
    <cellStyle name="表体文字居中(小) 32 4" xfId="32908"/>
    <cellStyle name="表体文字居中(小) 32 5" xfId="32910"/>
    <cellStyle name="表体文字居中(小) 32 6" xfId="32912"/>
    <cellStyle name="表体文字居中(小) 32 7" xfId="32914"/>
    <cellStyle name="表体文字居中(小) 32 8" xfId="32916"/>
    <cellStyle name="表体文字居中(小) 32 9" xfId="32918"/>
    <cellStyle name="表体文字居中(小) 33" xfId="24654"/>
    <cellStyle name="表体文字居中(小) 33 10" xfId="32920"/>
    <cellStyle name="表体文字居中(小) 33 2" xfId="32922"/>
    <cellStyle name="表体文字居中(小) 33 2 2" xfId="32924"/>
    <cellStyle name="表体文字居中(小) 33 2 3" xfId="32926"/>
    <cellStyle name="表体文字居中(小) 33 2 4" xfId="32928"/>
    <cellStyle name="表体文字居中(小) 33 2 5" xfId="32930"/>
    <cellStyle name="表体文字居中(小) 33 2 6" xfId="32932"/>
    <cellStyle name="表体文字居中(小) 33 2 7" xfId="32934"/>
    <cellStyle name="表体文字居中(小) 33 2 8" xfId="32936"/>
    <cellStyle name="表体文字居中(小) 33 3" xfId="21741"/>
    <cellStyle name="表体文字居中(小) 33 3 2" xfId="32938"/>
    <cellStyle name="表体文字居中(小) 33 3 3" xfId="32940"/>
    <cellStyle name="表体文字居中(小) 33 3 4" xfId="32942"/>
    <cellStyle name="表体文字居中(小) 33 3 5" xfId="4224"/>
    <cellStyle name="表体文字居中(小) 33 3 6" xfId="4230"/>
    <cellStyle name="表体文字居中(小) 33 3 7" xfId="32944"/>
    <cellStyle name="表体文字居中(小) 33 3 8" xfId="32946"/>
    <cellStyle name="表体文字居中(小) 33 4" xfId="32948"/>
    <cellStyle name="表体文字居中(小) 33 5" xfId="32950"/>
    <cellStyle name="表体文字居中(小) 33 6" xfId="32952"/>
    <cellStyle name="表体文字居中(小) 33 7" xfId="32954"/>
    <cellStyle name="表体文字居中(小) 33 8" xfId="32956"/>
    <cellStyle name="表体文字居中(小) 33 9" xfId="32958"/>
    <cellStyle name="表体文字居中(小) 34" xfId="25261"/>
    <cellStyle name="表体文字居中(小) 34 10" xfId="30133"/>
    <cellStyle name="表体文字居中(小) 34 2" xfId="32960"/>
    <cellStyle name="表体文字居中(小) 34 2 2" xfId="32962"/>
    <cellStyle name="表体文字居中(小) 34 2 3" xfId="32964"/>
    <cellStyle name="表体文字居中(小) 34 2 4" xfId="32966"/>
    <cellStyle name="表体文字居中(小) 34 2 5" xfId="32968"/>
    <cellStyle name="表体文字居中(小) 34 2 6" xfId="32970"/>
    <cellStyle name="表体文字居中(小) 34 2 7" xfId="32972"/>
    <cellStyle name="表体文字居中(小) 34 2 8" xfId="32974"/>
    <cellStyle name="表体文字居中(小) 34 3" xfId="6050"/>
    <cellStyle name="表体文字居中(小) 34 3 2" xfId="32976"/>
    <cellStyle name="表体文字居中(小) 34 3 3" xfId="32978"/>
    <cellStyle name="表体文字居中(小) 34 3 4" xfId="32980"/>
    <cellStyle name="表体文字居中(小) 34 3 5" xfId="32982"/>
    <cellStyle name="表体文字居中(小) 34 3 6" xfId="32984"/>
    <cellStyle name="表体文字居中(小) 34 3 7" xfId="32986"/>
    <cellStyle name="表体文字居中(小) 34 3 8" xfId="32988"/>
    <cellStyle name="表体文字居中(小) 34 4" xfId="6057"/>
    <cellStyle name="表体文字居中(小) 34 5" xfId="32990"/>
    <cellStyle name="表体文字居中(小) 34 6" xfId="32992"/>
    <cellStyle name="表体文字居中(小) 34 7" xfId="32994"/>
    <cellStyle name="表体文字居中(小) 34 8" xfId="32996"/>
    <cellStyle name="表体文字居中(小) 34 9" xfId="32998"/>
    <cellStyle name="表体文字居中(小) 35" xfId="16347"/>
    <cellStyle name="表体文字居中(小) 35 10" xfId="33009"/>
    <cellStyle name="表体文字居中(小) 35 2" xfId="33011"/>
    <cellStyle name="表体文字居中(小) 35 2 2" xfId="33013"/>
    <cellStyle name="表体文字居中(小) 35 2 3" xfId="33015"/>
    <cellStyle name="表体文字居中(小) 35 2 4" xfId="14114"/>
    <cellStyle name="表体文字居中(小) 35 2 5" xfId="14124"/>
    <cellStyle name="表体文字居中(小) 35 2 6" xfId="14134"/>
    <cellStyle name="表体文字居中(小) 35 2 7" xfId="14137"/>
    <cellStyle name="表体文字居中(小) 35 2 8" xfId="14140"/>
    <cellStyle name="表体文字居中(小) 35 3" xfId="33017"/>
    <cellStyle name="表体文字居中(小) 35 3 2" xfId="33019"/>
    <cellStyle name="表体文字居中(小) 35 3 3" xfId="33021"/>
    <cellStyle name="表体文字居中(小) 35 3 4" xfId="14477"/>
    <cellStyle name="表体文字居中(小) 35 3 5" xfId="14487"/>
    <cellStyle name="表体文字居中(小) 35 3 6" xfId="14497"/>
    <cellStyle name="表体文字居中(小) 35 3 7" xfId="14500"/>
    <cellStyle name="表体文字居中(小) 35 3 8" xfId="14503"/>
    <cellStyle name="表体文字居中(小) 35 4" xfId="33023"/>
    <cellStyle name="表体文字居中(小) 35 5" xfId="33025"/>
    <cellStyle name="表体文字居中(小) 35 6" xfId="33027"/>
    <cellStyle name="表体文字居中(小) 35 7" xfId="33029"/>
    <cellStyle name="表体文字居中(小) 35 8" xfId="33031"/>
    <cellStyle name="表体文字居中(小) 35 9" xfId="33033"/>
    <cellStyle name="表体文字居中(小) 36" xfId="16350"/>
    <cellStyle name="表体文字居中(小) 36 10" xfId="33035"/>
    <cellStyle name="表体文字居中(小) 36 2" xfId="33037"/>
    <cellStyle name="表体文字居中(小) 36 2 2" xfId="4956"/>
    <cellStyle name="表体文字居中(小) 36 2 3" xfId="33039"/>
    <cellStyle name="表体文字居中(小) 36 2 4" xfId="15489"/>
    <cellStyle name="表体文字居中(小) 36 2 5" xfId="15492"/>
    <cellStyle name="表体文字居中(小) 36 2 6" xfId="15495"/>
    <cellStyle name="表体文字居中(小) 36 2 7" xfId="15498"/>
    <cellStyle name="表体文字居中(小) 36 2 8" xfId="15501"/>
    <cellStyle name="表体文字居中(小) 36 3" xfId="33041"/>
    <cellStyle name="表体文字居中(小) 36 3 2" xfId="33043"/>
    <cellStyle name="表体文字居中(小) 36 3 3" xfId="33045"/>
    <cellStyle name="表体文字居中(小) 36 3 4" xfId="33047"/>
    <cellStyle name="表体文字居中(小) 36 3 5" xfId="33049"/>
    <cellStyle name="表体文字居中(小) 36 3 6" xfId="33051"/>
    <cellStyle name="表体文字居中(小) 36 3 7" xfId="33053"/>
    <cellStyle name="表体文字居中(小) 36 3 8" xfId="33055"/>
    <cellStyle name="表体文字居中(小) 36 4" xfId="33057"/>
    <cellStyle name="表体文字居中(小) 36 5" xfId="33059"/>
    <cellStyle name="表体文字居中(小) 36 6" xfId="33061"/>
    <cellStyle name="表体文字居中(小) 36 7" xfId="33063"/>
    <cellStyle name="表体文字居中(小) 36 8" xfId="33065"/>
    <cellStyle name="表体文字居中(小) 36 9" xfId="33067"/>
    <cellStyle name="表体文字居中(小) 37" xfId="16353"/>
    <cellStyle name="表体文字居中(小) 37 10" xfId="4301"/>
    <cellStyle name="表体文字居中(小) 37 2" xfId="33069"/>
    <cellStyle name="表体文字居中(小) 37 2 2" xfId="33071"/>
    <cellStyle name="表体文字居中(小) 37 2 3" xfId="33073"/>
    <cellStyle name="表体文字居中(小) 37 2 4" xfId="15799"/>
    <cellStyle name="表体文字居中(小) 37 2 5" xfId="15802"/>
    <cellStyle name="表体文字居中(小) 37 2 6" xfId="15805"/>
    <cellStyle name="表体文字居中(小) 37 2 7" xfId="15808"/>
    <cellStyle name="表体文字居中(小) 37 2 8" xfId="15811"/>
    <cellStyle name="表体文字居中(小) 37 3" xfId="33075"/>
    <cellStyle name="表体文字居中(小) 37 3 2" xfId="33077"/>
    <cellStyle name="表体文字居中(小) 37 3 3" xfId="33079"/>
    <cellStyle name="表体文字居中(小) 37 3 4" xfId="33081"/>
    <cellStyle name="表体文字居中(小) 37 3 5" xfId="33083"/>
    <cellStyle name="表体文字居中(小) 37 3 6" xfId="33085"/>
    <cellStyle name="表体文字居中(小) 37 3 7" xfId="33087"/>
    <cellStyle name="表体文字居中(小) 37 3 8" xfId="33089"/>
    <cellStyle name="表体文字居中(小) 37 4" xfId="27629"/>
    <cellStyle name="表体文字居中(小) 37 5" xfId="27633"/>
    <cellStyle name="表体文字居中(小) 37 6" xfId="27637"/>
    <cellStyle name="表体文字居中(小) 37 7" xfId="27641"/>
    <cellStyle name="表体文字居中(小) 37 8" xfId="27645"/>
    <cellStyle name="表体文字居中(小) 37 9" xfId="27649"/>
    <cellStyle name="表体文字居中(小) 38" xfId="16356"/>
    <cellStyle name="表体文字居中(小) 38 10" xfId="33091"/>
    <cellStyle name="表体文字居中(小) 38 2" xfId="33093"/>
    <cellStyle name="表体文字居中(小) 38 2 2" xfId="19455"/>
    <cellStyle name="表体文字居中(小) 38 2 3" xfId="19458"/>
    <cellStyle name="表体文字居中(小) 38 2 4" xfId="16067"/>
    <cellStyle name="表体文字居中(小) 38 2 5" xfId="16071"/>
    <cellStyle name="表体文字居中(小) 38 2 6" xfId="16075"/>
    <cellStyle name="表体文字居中(小) 38 2 7" xfId="16079"/>
    <cellStyle name="表体文字居中(小) 38 2 8" xfId="16082"/>
    <cellStyle name="表体文字居中(小) 38 3" xfId="21800"/>
    <cellStyle name="表体文字居中(小) 38 3 2" xfId="19475"/>
    <cellStyle name="表体文字居中(小) 38 3 3" xfId="19478"/>
    <cellStyle name="表体文字居中(小) 38 3 4" xfId="19481"/>
    <cellStyle name="表体文字居中(小) 38 3 5" xfId="19484"/>
    <cellStyle name="表体文字居中(小) 38 3 6" xfId="19487"/>
    <cellStyle name="表体文字居中(小) 38 3 7" xfId="19490"/>
    <cellStyle name="表体文字居中(小) 38 3 8" xfId="33095"/>
    <cellStyle name="表体文字居中(小) 38 4" xfId="27658"/>
    <cellStyle name="表体文字居中(小) 38 5" xfId="27662"/>
    <cellStyle name="表体文字居中(小) 38 6" xfId="27666"/>
    <cellStyle name="表体文字居中(小) 38 7" xfId="27670"/>
    <cellStyle name="表体文字居中(小) 38 8" xfId="27674"/>
    <cellStyle name="表体文字居中(小) 38 9" xfId="27678"/>
    <cellStyle name="表体文字居中(小) 39" xfId="16359"/>
    <cellStyle name="表体文字居中(小) 39 10" xfId="27980"/>
    <cellStyle name="表体文字居中(小) 39 2" xfId="33097"/>
    <cellStyle name="表体文字居中(小) 39 2 2" xfId="20562"/>
    <cellStyle name="表体文字居中(小) 39 2 3" xfId="20566"/>
    <cellStyle name="表体文字居中(小) 39 2 4" xfId="16299"/>
    <cellStyle name="表体文字居中(小) 39 2 5" xfId="16302"/>
    <cellStyle name="表体文字居中(小) 39 2 6" xfId="16305"/>
    <cellStyle name="表体文字居中(小) 39 2 7" xfId="16308"/>
    <cellStyle name="表体文字居中(小) 39 2 8" xfId="16311"/>
    <cellStyle name="表体文字居中(小) 39 3" xfId="33099"/>
    <cellStyle name="表体文字居中(小) 39 3 2" xfId="20612"/>
    <cellStyle name="表体文字居中(小) 39 3 3" xfId="20616"/>
    <cellStyle name="表体文字居中(小) 39 3 4" xfId="33101"/>
    <cellStyle name="表体文字居中(小) 39 3 5" xfId="33103"/>
    <cellStyle name="表体文字居中(小) 39 3 6" xfId="33105"/>
    <cellStyle name="表体文字居中(小) 39 3 7" xfId="33107"/>
    <cellStyle name="表体文字居中(小) 39 3 8" xfId="33109"/>
    <cellStyle name="表体文字居中(小) 39 4" xfId="33111"/>
    <cellStyle name="表体文字居中(小) 39 5" xfId="33113"/>
    <cellStyle name="表体文字居中(小) 39 6" xfId="33115"/>
    <cellStyle name="表体文字居中(小) 39 7" xfId="33117"/>
    <cellStyle name="表体文字居中(小) 39 8" xfId="33119"/>
    <cellStyle name="表体文字居中(小) 39 9" xfId="33121"/>
    <cellStyle name="表体文字居中(小) 4" xfId="11017"/>
    <cellStyle name="表体文字居中(小) 4 10" xfId="33122"/>
    <cellStyle name="表体文字居中(小) 4 2" xfId="33123"/>
    <cellStyle name="表体文字居中(小) 4 2 2" xfId="33125"/>
    <cellStyle name="表体文字居中(小) 4 2 3" xfId="18491"/>
    <cellStyle name="表体文字居中(小) 4 2 4" xfId="16457"/>
    <cellStyle name="表体文字居中(小) 4 2 5" xfId="16468"/>
    <cellStyle name="表体文字居中(小) 4 2 6" xfId="16489"/>
    <cellStyle name="表体文字居中(小) 4 2 7" xfId="16493"/>
    <cellStyle name="表体文字居中(小) 4 2 8" xfId="16497"/>
    <cellStyle name="表体文字居中(小) 4 3" xfId="33126"/>
    <cellStyle name="表体文字居中(小) 4 3 2" xfId="33128"/>
    <cellStyle name="表体文字居中(小) 4 3 3" xfId="18496"/>
    <cellStyle name="表体文字居中(小) 4 3 4" xfId="18499"/>
    <cellStyle name="表体文字居中(小) 4 3 5" xfId="18502"/>
    <cellStyle name="表体文字居中(小) 4 3 6" xfId="18505"/>
    <cellStyle name="表体文字居中(小) 4 3 7" xfId="18508"/>
    <cellStyle name="表体文字居中(小) 4 3 8" xfId="18511"/>
    <cellStyle name="表体文字居中(小) 4 4" xfId="33129"/>
    <cellStyle name="表体文字居中(小) 4 5" xfId="31416"/>
    <cellStyle name="表体文字居中(小) 4 6" xfId="31420"/>
    <cellStyle name="表体文字居中(小) 4 7" xfId="31423"/>
    <cellStyle name="表体文字居中(小) 4 8" xfId="31426"/>
    <cellStyle name="表体文字居中(小) 4 9" xfId="3699"/>
    <cellStyle name="表体文字居中(小) 40" xfId="16348"/>
    <cellStyle name="表体文字居中(小) 40 10" xfId="33008"/>
    <cellStyle name="表体文字居中(小) 40 2" xfId="33010"/>
    <cellStyle name="表体文字居中(小) 40 2 2" xfId="33012"/>
    <cellStyle name="表体文字居中(小) 40 2 3" xfId="33014"/>
    <cellStyle name="表体文字居中(小) 40 2 4" xfId="14115"/>
    <cellStyle name="表体文字居中(小) 40 2 5" xfId="14125"/>
    <cellStyle name="表体文字居中(小) 40 2 6" xfId="14135"/>
    <cellStyle name="表体文字居中(小) 40 2 7" xfId="14138"/>
    <cellStyle name="表体文字居中(小) 40 2 8" xfId="14141"/>
    <cellStyle name="表体文字居中(小) 40 3" xfId="33016"/>
    <cellStyle name="表体文字居中(小) 40 3 2" xfId="33018"/>
    <cellStyle name="表体文字居中(小) 40 3 3" xfId="33020"/>
    <cellStyle name="表体文字居中(小) 40 3 4" xfId="14478"/>
    <cellStyle name="表体文字居中(小) 40 3 5" xfId="14488"/>
    <cellStyle name="表体文字居中(小) 40 3 6" xfId="14498"/>
    <cellStyle name="表体文字居中(小) 40 3 7" xfId="14501"/>
    <cellStyle name="表体文字居中(小) 40 3 8" xfId="14504"/>
    <cellStyle name="表体文字居中(小) 40 4" xfId="33022"/>
    <cellStyle name="表体文字居中(小) 40 5" xfId="33024"/>
    <cellStyle name="表体文字居中(小) 40 6" xfId="33026"/>
    <cellStyle name="表体文字居中(小) 40 7" xfId="33028"/>
    <cellStyle name="表体文字居中(小) 40 8" xfId="33030"/>
    <cellStyle name="表体文字居中(小) 40 9" xfId="33032"/>
    <cellStyle name="表体文字居中(小) 41" xfId="16351"/>
    <cellStyle name="表体文字居中(小) 41 10" xfId="33034"/>
    <cellStyle name="表体文字居中(小) 41 2" xfId="33036"/>
    <cellStyle name="表体文字居中(小) 41 2 2" xfId="4957"/>
    <cellStyle name="表体文字居中(小) 41 2 3" xfId="33038"/>
    <cellStyle name="表体文字居中(小) 41 2 4" xfId="15490"/>
    <cellStyle name="表体文字居中(小) 41 2 5" xfId="15493"/>
    <cellStyle name="表体文字居中(小) 41 2 6" xfId="15496"/>
    <cellStyle name="表体文字居中(小) 41 2 7" xfId="15499"/>
    <cellStyle name="表体文字居中(小) 41 2 8" xfId="15502"/>
    <cellStyle name="表体文字居中(小) 41 3" xfId="33040"/>
    <cellStyle name="表体文字居中(小) 41 3 2" xfId="33042"/>
    <cellStyle name="表体文字居中(小) 41 3 3" xfId="33044"/>
    <cellStyle name="表体文字居中(小) 41 3 4" xfId="33046"/>
    <cellStyle name="表体文字居中(小) 41 3 5" xfId="33048"/>
    <cellStyle name="表体文字居中(小) 41 3 6" xfId="33050"/>
    <cellStyle name="表体文字居中(小) 41 3 7" xfId="33052"/>
    <cellStyle name="表体文字居中(小) 41 3 8" xfId="33054"/>
    <cellStyle name="表体文字居中(小) 41 4" xfId="33056"/>
    <cellStyle name="表体文字居中(小) 41 5" xfId="33058"/>
    <cellStyle name="表体文字居中(小) 41 6" xfId="33060"/>
    <cellStyle name="表体文字居中(小) 41 7" xfId="33062"/>
    <cellStyle name="表体文字居中(小) 41 8" xfId="33064"/>
    <cellStyle name="表体文字居中(小) 41 9" xfId="33066"/>
    <cellStyle name="表体文字居中(小) 42" xfId="16354"/>
    <cellStyle name="表体文字居中(小) 42 10" xfId="4302"/>
    <cellStyle name="表体文字居中(小) 42 2" xfId="33068"/>
    <cellStyle name="表体文字居中(小) 42 2 2" xfId="33070"/>
    <cellStyle name="表体文字居中(小) 42 2 3" xfId="33072"/>
    <cellStyle name="表体文字居中(小) 42 2 4" xfId="15800"/>
    <cellStyle name="表体文字居中(小) 42 2 5" xfId="15803"/>
    <cellStyle name="表体文字居中(小) 42 2 6" xfId="15806"/>
    <cellStyle name="表体文字居中(小) 42 2 7" xfId="15809"/>
    <cellStyle name="表体文字居中(小) 42 2 8" xfId="15812"/>
    <cellStyle name="表体文字居中(小) 42 3" xfId="33074"/>
    <cellStyle name="表体文字居中(小) 42 3 2" xfId="33076"/>
    <cellStyle name="表体文字居中(小) 42 3 3" xfId="33078"/>
    <cellStyle name="表体文字居中(小) 42 3 4" xfId="33080"/>
    <cellStyle name="表体文字居中(小) 42 3 5" xfId="33082"/>
    <cellStyle name="表体文字居中(小) 42 3 6" xfId="33084"/>
    <cellStyle name="表体文字居中(小) 42 3 7" xfId="33086"/>
    <cellStyle name="表体文字居中(小) 42 3 8" xfId="33088"/>
    <cellStyle name="表体文字居中(小) 42 4" xfId="27630"/>
    <cellStyle name="表体文字居中(小) 42 5" xfId="27634"/>
    <cellStyle name="表体文字居中(小) 42 6" xfId="27638"/>
    <cellStyle name="表体文字居中(小) 42 7" xfId="27642"/>
    <cellStyle name="表体文字居中(小) 42 8" xfId="27646"/>
    <cellStyle name="表体文字居中(小) 42 9" xfId="27650"/>
    <cellStyle name="表体文字居中(小) 43" xfId="16357"/>
    <cellStyle name="表体文字居中(小) 43 10" xfId="33090"/>
    <cellStyle name="表体文字居中(小) 43 2" xfId="33092"/>
    <cellStyle name="表体文字居中(小) 43 2 2" xfId="19456"/>
    <cellStyle name="表体文字居中(小) 43 2 3" xfId="19459"/>
    <cellStyle name="表体文字居中(小) 43 2 4" xfId="16068"/>
    <cellStyle name="表体文字居中(小) 43 2 5" xfId="16072"/>
    <cellStyle name="表体文字居中(小) 43 2 6" xfId="16076"/>
    <cellStyle name="表体文字居中(小) 43 2 7" xfId="16080"/>
    <cellStyle name="表体文字居中(小) 43 2 8" xfId="16083"/>
    <cellStyle name="表体文字居中(小) 43 3" xfId="21801"/>
    <cellStyle name="表体文字居中(小) 43 3 2" xfId="19476"/>
    <cellStyle name="表体文字居中(小) 43 3 3" xfId="19479"/>
    <cellStyle name="表体文字居中(小) 43 3 4" xfId="19482"/>
    <cellStyle name="表体文字居中(小) 43 3 5" xfId="19485"/>
    <cellStyle name="表体文字居中(小) 43 3 6" xfId="19488"/>
    <cellStyle name="表体文字居中(小) 43 3 7" xfId="19491"/>
    <cellStyle name="表体文字居中(小) 43 3 8" xfId="33094"/>
    <cellStyle name="表体文字居中(小) 43 4" xfId="27659"/>
    <cellStyle name="表体文字居中(小) 43 5" xfId="27663"/>
    <cellStyle name="表体文字居中(小) 43 6" xfId="27667"/>
    <cellStyle name="表体文字居中(小) 43 7" xfId="27671"/>
    <cellStyle name="表体文字居中(小) 43 8" xfId="27675"/>
    <cellStyle name="表体文字居中(小) 43 9" xfId="27679"/>
    <cellStyle name="表体文字居中(小) 44" xfId="16360"/>
    <cellStyle name="表体文字居中(小) 44 10" xfId="27981"/>
    <cellStyle name="表体文字居中(小) 44 2" xfId="33096"/>
    <cellStyle name="表体文字居中(小) 44 2 2" xfId="20563"/>
    <cellStyle name="表体文字居中(小) 44 2 3" xfId="20567"/>
    <cellStyle name="表体文字居中(小) 44 2 4" xfId="16300"/>
    <cellStyle name="表体文字居中(小) 44 2 5" xfId="16303"/>
    <cellStyle name="表体文字居中(小) 44 2 6" xfId="16306"/>
    <cellStyle name="表体文字居中(小) 44 2 7" xfId="16309"/>
    <cellStyle name="表体文字居中(小) 44 2 8" xfId="16312"/>
    <cellStyle name="表体文字居中(小) 44 3" xfId="33098"/>
    <cellStyle name="表体文字居中(小) 44 3 2" xfId="20613"/>
    <cellStyle name="表体文字居中(小) 44 3 3" xfId="20617"/>
    <cellStyle name="表体文字居中(小) 44 3 4" xfId="33100"/>
    <cellStyle name="表体文字居中(小) 44 3 5" xfId="33102"/>
    <cellStyle name="表体文字居中(小) 44 3 6" xfId="33104"/>
    <cellStyle name="表体文字居中(小) 44 3 7" xfId="33106"/>
    <cellStyle name="表体文字居中(小) 44 3 8" xfId="33108"/>
    <cellStyle name="表体文字居中(小) 44 4" xfId="33110"/>
    <cellStyle name="表体文字居中(小) 44 5" xfId="33112"/>
    <cellStyle name="表体文字居中(小) 44 6" xfId="33114"/>
    <cellStyle name="表体文字居中(小) 44 7" xfId="33116"/>
    <cellStyle name="表体文字居中(小) 44 8" xfId="33118"/>
    <cellStyle name="表体文字居中(小) 44 9" xfId="33120"/>
    <cellStyle name="表体文字居中(小) 45" xfId="16362"/>
    <cellStyle name="表体文字居中(小) 45 10" xfId="33132"/>
    <cellStyle name="表体文字居中(小) 45 2" xfId="33134"/>
    <cellStyle name="表体文字居中(小) 45 2 2" xfId="33136"/>
    <cellStyle name="表体文字居中(小) 45 2 3" xfId="33138"/>
    <cellStyle name="表体文字居中(小) 45 2 4" xfId="12644"/>
    <cellStyle name="表体文字居中(小) 45 2 5" xfId="12649"/>
    <cellStyle name="表体文字居中(小) 45 2 6" xfId="16402"/>
    <cellStyle name="表体文字居中(小) 45 2 7" xfId="16407"/>
    <cellStyle name="表体文字居中(小) 45 2 8" xfId="16412"/>
    <cellStyle name="表体文字居中(小) 45 3" xfId="33140"/>
    <cellStyle name="表体文字居中(小) 45 3 2" xfId="33142"/>
    <cellStyle name="表体文字居中(小) 45 3 3" xfId="33144"/>
    <cellStyle name="表体文字居中(小) 45 3 4" xfId="33146"/>
    <cellStyle name="表体文字居中(小) 45 3 5" xfId="33148"/>
    <cellStyle name="表体文字居中(小) 45 3 6" xfId="33150"/>
    <cellStyle name="表体文字居中(小) 45 3 7" xfId="17672"/>
    <cellStyle name="表体文字居中(小) 45 3 8" xfId="17690"/>
    <cellStyle name="表体文字居中(小) 45 4" xfId="33152"/>
    <cellStyle name="表体文字居中(小) 45 5" xfId="33154"/>
    <cellStyle name="表体文字居中(小) 45 6" xfId="6862"/>
    <cellStyle name="表体文字居中(小) 45 7" xfId="6875"/>
    <cellStyle name="表体文字居中(小) 45 8" xfId="6878"/>
    <cellStyle name="表体文字居中(小) 45 9" xfId="6881"/>
    <cellStyle name="表体文字居中(小) 46" xfId="16365"/>
    <cellStyle name="表体文字居中(小) 46 10" xfId="33156"/>
    <cellStyle name="表体文字居中(小) 46 2" xfId="33158"/>
    <cellStyle name="表体文字居中(小) 46 2 2" xfId="33160"/>
    <cellStyle name="表体文字居中(小) 46 2 3" xfId="33162"/>
    <cellStyle name="表体文字居中(小) 46 2 4" xfId="16434"/>
    <cellStyle name="表体文字居中(小) 46 2 5" xfId="16437"/>
    <cellStyle name="表体文字居中(小) 46 2 6" xfId="16440"/>
    <cellStyle name="表体文字居中(小) 46 2 7" xfId="16443"/>
    <cellStyle name="表体文字居中(小) 46 2 8" xfId="16446"/>
    <cellStyle name="表体文字居中(小) 46 3" xfId="33164"/>
    <cellStyle name="表体文字居中(小) 46 3 2" xfId="33166"/>
    <cellStyle name="表体文字居中(小) 46 3 3" xfId="33168"/>
    <cellStyle name="表体文字居中(小) 46 3 4" xfId="33170"/>
    <cellStyle name="表体文字居中(小) 46 3 5" xfId="33172"/>
    <cellStyle name="表体文字居中(小) 46 3 6" xfId="33174"/>
    <cellStyle name="表体文字居中(小) 46 3 7" xfId="33176"/>
    <cellStyle name="表体文字居中(小) 46 3 8" xfId="33178"/>
    <cellStyle name="表体文字居中(小) 46 4" xfId="33180"/>
    <cellStyle name="表体文字居中(小) 46 5" xfId="33182"/>
    <cellStyle name="表体文字居中(小) 46 6" xfId="33184"/>
    <cellStyle name="表体文字居中(小) 46 7" xfId="33186"/>
    <cellStyle name="表体文字居中(小) 46 8" xfId="33188"/>
    <cellStyle name="表体文字居中(小) 46 9" xfId="33190"/>
    <cellStyle name="表体文字居中(小) 47" xfId="33192"/>
    <cellStyle name="表体文字居中(小) 47 10" xfId="4367"/>
    <cellStyle name="表体文字居中(小) 47 2" xfId="33194"/>
    <cellStyle name="表体文字居中(小) 47 2 2" xfId="33196"/>
    <cellStyle name="表体文字居中(小) 47 2 3" xfId="33198"/>
    <cellStyle name="表体文字居中(小) 47 2 4" xfId="16470"/>
    <cellStyle name="表体文字居中(小) 47 2 5" xfId="16473"/>
    <cellStyle name="表体文字居中(小) 47 2 6" xfId="16476"/>
    <cellStyle name="表体文字居中(小) 47 2 7" xfId="16479"/>
    <cellStyle name="表体文字居中(小) 47 2 8" xfId="16482"/>
    <cellStyle name="表体文字居中(小) 47 3" xfId="33200"/>
    <cellStyle name="表体文字居中(小) 47 3 2" xfId="33202"/>
    <cellStyle name="表体文字居中(小) 47 3 3" xfId="33204"/>
    <cellStyle name="表体文字居中(小) 47 3 4" xfId="33206"/>
    <cellStyle name="表体文字居中(小) 47 3 5" xfId="33208"/>
    <cellStyle name="表体文字居中(小) 47 3 6" xfId="33210"/>
    <cellStyle name="表体文字居中(小) 47 3 7" xfId="33212"/>
    <cellStyle name="表体文字居中(小) 47 3 8" xfId="33214"/>
    <cellStyle name="表体文字居中(小) 47 4" xfId="33216"/>
    <cellStyle name="表体文字居中(小) 47 5" xfId="33218"/>
    <cellStyle name="表体文字居中(小) 47 6" xfId="33220"/>
    <cellStyle name="表体文字居中(小) 47 7" xfId="33222"/>
    <cellStyle name="表体文字居中(小) 47 8" xfId="33224"/>
    <cellStyle name="表体文字居中(小) 47 9" xfId="33226"/>
    <cellStyle name="表体文字居中(小) 48" xfId="33228"/>
    <cellStyle name="表体文字居中(小) 48 10" xfId="23020"/>
    <cellStyle name="表体文字居中(小) 48 2" xfId="33230"/>
    <cellStyle name="表体文字居中(小) 48 2 2" xfId="33232"/>
    <cellStyle name="表体文字居中(小) 48 2 3" xfId="33234"/>
    <cellStyle name="表体文字居中(小) 48 2 4" xfId="33236"/>
    <cellStyle name="表体文字居中(小) 48 2 5" xfId="33238"/>
    <cellStyle name="表体文字居中(小) 48 2 6" xfId="33240"/>
    <cellStyle name="表体文字居中(小) 48 2 7" xfId="33242"/>
    <cellStyle name="表体文字居中(小) 48 2 8" xfId="33244"/>
    <cellStyle name="表体文字居中(小) 48 3" xfId="21862"/>
    <cellStyle name="表体文字居中(小) 48 3 2" xfId="8594"/>
    <cellStyle name="表体文字居中(小) 48 3 3" xfId="33246"/>
    <cellStyle name="表体文字居中(小) 48 3 4" xfId="33248"/>
    <cellStyle name="表体文字居中(小) 48 3 5" xfId="33250"/>
    <cellStyle name="表体文字居中(小) 48 3 6" xfId="33252"/>
    <cellStyle name="表体文字居中(小) 48 3 7" xfId="33254"/>
    <cellStyle name="表体文字居中(小) 48 3 8" xfId="33256"/>
    <cellStyle name="表体文字居中(小) 48 4" xfId="33258"/>
    <cellStyle name="表体文字居中(小) 48 5" xfId="30941"/>
    <cellStyle name="表体文字居中(小) 48 6" xfId="30944"/>
    <cellStyle name="表体文字居中(小) 48 7" xfId="30947"/>
    <cellStyle name="表体文字居中(小) 48 8" xfId="30950"/>
    <cellStyle name="表体文字居中(小) 48 9" xfId="30953"/>
    <cellStyle name="表体文字居中(小) 49" xfId="33260"/>
    <cellStyle name="表体文字居中(小) 49 10" xfId="23199"/>
    <cellStyle name="表体文字居中(小) 49 2" xfId="33262"/>
    <cellStyle name="表体文字居中(小) 49 2 2" xfId="33264"/>
    <cellStyle name="表体文字居中(小) 49 2 3" xfId="33266"/>
    <cellStyle name="表体文字居中(小) 49 2 4" xfId="33268"/>
    <cellStyle name="表体文字居中(小) 49 2 5" xfId="33270"/>
    <cellStyle name="表体文字居中(小) 49 2 6" xfId="33272"/>
    <cellStyle name="表体文字居中(小) 49 2 7" xfId="33274"/>
    <cellStyle name="表体文字居中(小) 49 2 8" xfId="33276"/>
    <cellStyle name="表体文字居中(小) 49 3" xfId="33278"/>
    <cellStyle name="表体文字居中(小) 49 3 2" xfId="33280"/>
    <cellStyle name="表体文字居中(小) 49 3 3" xfId="33282"/>
    <cellStyle name="表体文字居中(小) 49 3 4" xfId="33284"/>
    <cellStyle name="表体文字居中(小) 49 3 5" xfId="33286"/>
    <cellStyle name="表体文字居中(小) 49 3 6" xfId="33288"/>
    <cellStyle name="表体文字居中(小) 49 3 7" xfId="33290"/>
    <cellStyle name="表体文字居中(小) 49 3 8" xfId="33292"/>
    <cellStyle name="表体文字居中(小) 49 4" xfId="33294"/>
    <cellStyle name="表体文字居中(小) 49 5" xfId="30957"/>
    <cellStyle name="表体文字居中(小) 49 6" xfId="30960"/>
    <cellStyle name="表体文字居中(小) 49 7" xfId="30963"/>
    <cellStyle name="表体文字居中(小) 49 8" xfId="30966"/>
    <cellStyle name="表体文字居中(小) 49 9" xfId="30969"/>
    <cellStyle name="表体文字居中(小) 5" xfId="11020"/>
    <cellStyle name="表体文字居中(小) 5 10" xfId="33295"/>
    <cellStyle name="表体文字居中(小) 5 2" xfId="25270"/>
    <cellStyle name="表体文字居中(小) 5 2 2" xfId="9421"/>
    <cellStyle name="表体文字居中(小) 5 2 3" xfId="18536"/>
    <cellStyle name="表体文字居中(小) 5 2 4" xfId="18541"/>
    <cellStyle name="表体文字居中(小) 5 2 5" xfId="18546"/>
    <cellStyle name="表体文字居中(小) 5 2 6" xfId="18551"/>
    <cellStyle name="表体文字居中(小) 5 2 7" xfId="18554"/>
    <cellStyle name="表体文字居中(小) 5 2 8" xfId="18557"/>
    <cellStyle name="表体文字居中(小) 5 3" xfId="25273"/>
    <cellStyle name="表体文字居中(小) 5 3 2" xfId="9429"/>
    <cellStyle name="表体文字居中(小) 5 3 3" xfId="18568"/>
    <cellStyle name="表体文字居中(小) 5 3 4" xfId="18573"/>
    <cellStyle name="表体文字居中(小) 5 3 5" xfId="18578"/>
    <cellStyle name="表体文字居中(小) 5 3 6" xfId="18583"/>
    <cellStyle name="表体文字居中(小) 5 3 7" xfId="18587"/>
    <cellStyle name="表体文字居中(小) 5 3 8" xfId="18590"/>
    <cellStyle name="表体文字居中(小) 5 4" xfId="33296"/>
    <cellStyle name="表体文字居中(小) 5 5" xfId="24566"/>
    <cellStyle name="表体文字居中(小) 5 6" xfId="31432"/>
    <cellStyle name="表体文字居中(小) 5 7" xfId="31435"/>
    <cellStyle name="表体文字居中(小) 5 8" xfId="27349"/>
    <cellStyle name="表体文字居中(小) 5 9" xfId="3723"/>
    <cellStyle name="表体文字居中(小) 50" xfId="16363"/>
    <cellStyle name="表体文字居中(小) 50 10" xfId="33131"/>
    <cellStyle name="表体文字居中(小) 50 2" xfId="33133"/>
    <cellStyle name="表体文字居中(小) 50 2 2" xfId="33135"/>
    <cellStyle name="表体文字居中(小) 50 2 3" xfId="33137"/>
    <cellStyle name="表体文字居中(小) 50 2 4" xfId="12645"/>
    <cellStyle name="表体文字居中(小) 50 2 5" xfId="12650"/>
    <cellStyle name="表体文字居中(小) 50 2 6" xfId="16403"/>
    <cellStyle name="表体文字居中(小) 50 2 7" xfId="16408"/>
    <cellStyle name="表体文字居中(小) 50 2 8" xfId="16413"/>
    <cellStyle name="表体文字居中(小) 50 3" xfId="33139"/>
    <cellStyle name="表体文字居中(小) 50 3 2" xfId="33141"/>
    <cellStyle name="表体文字居中(小) 50 3 3" xfId="33143"/>
    <cellStyle name="表体文字居中(小) 50 3 4" xfId="33145"/>
    <cellStyle name="表体文字居中(小) 50 3 5" xfId="33147"/>
    <cellStyle name="表体文字居中(小) 50 3 6" xfId="33149"/>
    <cellStyle name="表体文字居中(小) 50 3 7" xfId="17673"/>
    <cellStyle name="表体文字居中(小) 50 3 8" xfId="17691"/>
    <cellStyle name="表体文字居中(小) 50 4" xfId="33151"/>
    <cellStyle name="表体文字居中(小) 50 5" xfId="33153"/>
    <cellStyle name="表体文字居中(小) 50 6" xfId="6863"/>
    <cellStyle name="表体文字居中(小) 50 7" xfId="6876"/>
    <cellStyle name="表体文字居中(小) 50 8" xfId="6879"/>
    <cellStyle name="表体文字居中(小) 50 9" xfId="6882"/>
    <cellStyle name="表体文字居中(小) 51" xfId="16366"/>
    <cellStyle name="表体文字居中(小) 51 10" xfId="33155"/>
    <cellStyle name="表体文字居中(小) 51 2" xfId="33157"/>
    <cellStyle name="表体文字居中(小) 51 2 2" xfId="33159"/>
    <cellStyle name="表体文字居中(小) 51 2 3" xfId="33161"/>
    <cellStyle name="表体文字居中(小) 51 2 4" xfId="16435"/>
    <cellStyle name="表体文字居中(小) 51 2 5" xfId="16438"/>
    <cellStyle name="表体文字居中(小) 51 2 6" xfId="16441"/>
    <cellStyle name="表体文字居中(小) 51 2 7" xfId="16444"/>
    <cellStyle name="表体文字居中(小) 51 2 8" xfId="16447"/>
    <cellStyle name="表体文字居中(小) 51 3" xfId="33163"/>
    <cellStyle name="表体文字居中(小) 51 3 2" xfId="33165"/>
    <cellStyle name="表体文字居中(小) 51 3 3" xfId="33167"/>
    <cellStyle name="表体文字居中(小) 51 3 4" xfId="33169"/>
    <cellStyle name="表体文字居中(小) 51 3 5" xfId="33171"/>
    <cellStyle name="表体文字居中(小) 51 3 6" xfId="33173"/>
    <cellStyle name="表体文字居中(小) 51 3 7" xfId="33175"/>
    <cellStyle name="表体文字居中(小) 51 3 8" xfId="33177"/>
    <cellStyle name="表体文字居中(小) 51 4" xfId="33179"/>
    <cellStyle name="表体文字居中(小) 51 5" xfId="33181"/>
    <cellStyle name="表体文字居中(小) 51 6" xfId="33183"/>
    <cellStyle name="表体文字居中(小) 51 7" xfId="33185"/>
    <cellStyle name="表体文字居中(小) 51 8" xfId="33187"/>
    <cellStyle name="表体文字居中(小) 51 9" xfId="33189"/>
    <cellStyle name="表体文字居中(小) 52" xfId="33191"/>
    <cellStyle name="表体文字居中(小) 52 10" xfId="4368"/>
    <cellStyle name="表体文字居中(小) 52 2" xfId="33193"/>
    <cellStyle name="表体文字居中(小) 52 2 2" xfId="33195"/>
    <cellStyle name="表体文字居中(小) 52 2 3" xfId="33197"/>
    <cellStyle name="表体文字居中(小) 52 2 4" xfId="16471"/>
    <cellStyle name="表体文字居中(小) 52 2 5" xfId="16474"/>
    <cellStyle name="表体文字居中(小) 52 2 6" xfId="16477"/>
    <cellStyle name="表体文字居中(小) 52 2 7" xfId="16480"/>
    <cellStyle name="表体文字居中(小) 52 2 8" xfId="16483"/>
    <cellStyle name="表体文字居中(小) 52 3" xfId="33199"/>
    <cellStyle name="表体文字居中(小) 52 3 2" xfId="33201"/>
    <cellStyle name="表体文字居中(小) 52 3 3" xfId="33203"/>
    <cellStyle name="表体文字居中(小) 52 3 4" xfId="33205"/>
    <cellStyle name="表体文字居中(小) 52 3 5" xfId="33207"/>
    <cellStyle name="表体文字居中(小) 52 3 6" xfId="33209"/>
    <cellStyle name="表体文字居中(小) 52 3 7" xfId="33211"/>
    <cellStyle name="表体文字居中(小) 52 3 8" xfId="33213"/>
    <cellStyle name="表体文字居中(小) 52 4" xfId="33215"/>
    <cellStyle name="表体文字居中(小) 52 5" xfId="33217"/>
    <cellStyle name="表体文字居中(小) 52 6" xfId="33219"/>
    <cellStyle name="表体文字居中(小) 52 7" xfId="33221"/>
    <cellStyle name="表体文字居中(小) 52 8" xfId="33223"/>
    <cellStyle name="表体文字居中(小) 52 9" xfId="33225"/>
    <cellStyle name="表体文字居中(小) 53" xfId="33227"/>
    <cellStyle name="表体文字居中(小) 53 10" xfId="23021"/>
    <cellStyle name="表体文字居中(小) 53 2" xfId="33229"/>
    <cellStyle name="表体文字居中(小) 53 2 2" xfId="33231"/>
    <cellStyle name="表体文字居中(小) 53 2 3" xfId="33233"/>
    <cellStyle name="表体文字居中(小) 53 2 4" xfId="33235"/>
    <cellStyle name="表体文字居中(小) 53 2 5" xfId="33237"/>
    <cellStyle name="表体文字居中(小) 53 2 6" xfId="33239"/>
    <cellStyle name="表体文字居中(小) 53 2 7" xfId="33241"/>
    <cellStyle name="表体文字居中(小) 53 2 8" xfId="33243"/>
    <cellStyle name="表体文字居中(小) 53 3" xfId="21863"/>
    <cellStyle name="表体文字居中(小) 53 3 2" xfId="8595"/>
    <cellStyle name="表体文字居中(小) 53 3 3" xfId="33245"/>
    <cellStyle name="表体文字居中(小) 53 3 4" xfId="33247"/>
    <cellStyle name="表体文字居中(小) 53 3 5" xfId="33249"/>
    <cellStyle name="表体文字居中(小) 53 3 6" xfId="33251"/>
    <cellStyle name="表体文字居中(小) 53 3 7" xfId="33253"/>
    <cellStyle name="表体文字居中(小) 53 3 8" xfId="33255"/>
    <cellStyle name="表体文字居中(小) 53 4" xfId="33257"/>
    <cellStyle name="表体文字居中(小) 53 5" xfId="30942"/>
    <cellStyle name="表体文字居中(小) 53 6" xfId="30945"/>
    <cellStyle name="表体文字居中(小) 53 7" xfId="30948"/>
    <cellStyle name="表体文字居中(小) 53 8" xfId="30951"/>
    <cellStyle name="表体文字居中(小) 53 9" xfId="30954"/>
    <cellStyle name="表体文字居中(小) 54" xfId="33259"/>
    <cellStyle name="表体文字居中(小) 54 10" xfId="23200"/>
    <cellStyle name="表体文字居中(小) 54 2" xfId="33261"/>
    <cellStyle name="表体文字居中(小) 54 2 2" xfId="33263"/>
    <cellStyle name="表体文字居中(小) 54 2 3" xfId="33265"/>
    <cellStyle name="表体文字居中(小) 54 2 4" xfId="33267"/>
    <cellStyle name="表体文字居中(小) 54 2 5" xfId="33269"/>
    <cellStyle name="表体文字居中(小) 54 2 6" xfId="33271"/>
    <cellStyle name="表体文字居中(小) 54 2 7" xfId="33273"/>
    <cellStyle name="表体文字居中(小) 54 2 8" xfId="33275"/>
    <cellStyle name="表体文字居中(小) 54 3" xfId="33277"/>
    <cellStyle name="表体文字居中(小) 54 3 2" xfId="33279"/>
    <cellStyle name="表体文字居中(小) 54 3 3" xfId="33281"/>
    <cellStyle name="表体文字居中(小) 54 3 4" xfId="33283"/>
    <cellStyle name="表体文字居中(小) 54 3 5" xfId="33285"/>
    <cellStyle name="表体文字居中(小) 54 3 6" xfId="33287"/>
    <cellStyle name="表体文字居中(小) 54 3 7" xfId="33289"/>
    <cellStyle name="表体文字居中(小) 54 3 8" xfId="33291"/>
    <cellStyle name="表体文字居中(小) 54 4" xfId="33293"/>
    <cellStyle name="表体文字居中(小) 54 5" xfId="30958"/>
    <cellStyle name="表体文字居中(小) 54 6" xfId="30961"/>
    <cellStyle name="表体文字居中(小) 54 7" xfId="30964"/>
    <cellStyle name="表体文字居中(小) 54 8" xfId="30967"/>
    <cellStyle name="表体文字居中(小) 54 9" xfId="30970"/>
    <cellStyle name="表体文字居中(小) 55" xfId="33299"/>
    <cellStyle name="表体文字居中(小) 55 10" xfId="23468"/>
    <cellStyle name="表体文字居中(小) 55 2" xfId="2859"/>
    <cellStyle name="表体文字居中(小) 55 2 2" xfId="2862"/>
    <cellStyle name="表体文字居中(小) 55 2 3" xfId="2866"/>
    <cellStyle name="表体文字居中(小) 55 2 4" xfId="33301"/>
    <cellStyle name="表体文字居中(小) 55 2 5" xfId="33303"/>
    <cellStyle name="表体文字居中(小) 55 2 6" xfId="33305"/>
    <cellStyle name="表体文字居中(小) 55 2 7" xfId="33307"/>
    <cellStyle name="表体文字居中(小) 55 2 8" xfId="33309"/>
    <cellStyle name="表体文字居中(小) 55 3" xfId="2870"/>
    <cellStyle name="表体文字居中(小) 55 3 2" xfId="2873"/>
    <cellStyle name="表体文字居中(小) 55 3 3" xfId="2877"/>
    <cellStyle name="表体文字居中(小) 55 3 4" xfId="33311"/>
    <cellStyle name="表体文字居中(小) 55 3 5" xfId="33313"/>
    <cellStyle name="表体文字居中(小) 55 3 6" xfId="33315"/>
    <cellStyle name="表体文字居中(小) 55 3 7" xfId="33317"/>
    <cellStyle name="表体文字居中(小) 55 3 8" xfId="33319"/>
    <cellStyle name="表体文字居中(小) 55 4" xfId="2881"/>
    <cellStyle name="表体文字居中(小) 55 5" xfId="2894"/>
    <cellStyle name="表体文字居中(小) 55 6" xfId="2906"/>
    <cellStyle name="表体文字居中(小) 55 7" xfId="2918"/>
    <cellStyle name="表体文字居中(小) 55 8" xfId="2924"/>
    <cellStyle name="表体文字居中(小) 55 9" xfId="33321"/>
    <cellStyle name="表体文字居中(小) 56" xfId="33323"/>
    <cellStyle name="表体文字居中(小) 56 10" xfId="13355"/>
    <cellStyle name="表体文字居中(小) 56 2" xfId="2956"/>
    <cellStyle name="表体文字居中(小) 56 2 2" xfId="2959"/>
    <cellStyle name="表体文字居中(小) 56 2 3" xfId="2963"/>
    <cellStyle name="表体文字居中(小) 56 2 4" xfId="33325"/>
    <cellStyle name="表体文字居中(小) 56 2 5" xfId="33327"/>
    <cellStyle name="表体文字居中(小) 56 2 6" xfId="33329"/>
    <cellStyle name="表体文字居中(小) 56 2 7" xfId="33331"/>
    <cellStyle name="表体文字居中(小) 56 2 8" xfId="33333"/>
    <cellStyle name="表体文字居中(小) 56 3" xfId="2968"/>
    <cellStyle name="表体文字居中(小) 56 3 2" xfId="2971"/>
    <cellStyle name="表体文字居中(小) 56 3 3" xfId="990"/>
    <cellStyle name="表体文字居中(小) 56 3 4" xfId="33335"/>
    <cellStyle name="表体文字居中(小) 56 3 5" xfId="33337"/>
    <cellStyle name="表体文字居中(小) 56 3 6" xfId="9395"/>
    <cellStyle name="表体文字居中(小) 56 3 7" xfId="9404"/>
    <cellStyle name="表体文字居中(小) 56 3 8" xfId="9413"/>
    <cellStyle name="表体文字居中(小) 56 4" xfId="2975"/>
    <cellStyle name="表体文字居中(小) 56 5" xfId="2979"/>
    <cellStyle name="表体文字居中(小) 56 6" xfId="2987"/>
    <cellStyle name="表体文字居中(小) 56 7" xfId="2993"/>
    <cellStyle name="表体文字居中(小) 56 8" xfId="2996"/>
    <cellStyle name="表体文字居中(小) 56 9" xfId="33339"/>
    <cellStyle name="表体文字居中(小) 57" xfId="33341"/>
    <cellStyle name="表体文字居中(小) 57 10" xfId="23873"/>
    <cellStyle name="表体文字居中(小) 57 2" xfId="313"/>
    <cellStyle name="表体文字居中(小) 57 2 2" xfId="33343"/>
    <cellStyle name="表体文字居中(小) 57 2 3" xfId="33345"/>
    <cellStyle name="表体文字居中(小) 57 2 4" xfId="33347"/>
    <cellStyle name="表体文字居中(小) 57 2 5" xfId="33349"/>
    <cellStyle name="表体文字居中(小) 57 2 6" xfId="33351"/>
    <cellStyle name="表体文字居中(小) 57 2 7" xfId="16518"/>
    <cellStyle name="表体文字居中(小) 57 2 8" xfId="16521"/>
    <cellStyle name="表体文字居中(小) 57 3" xfId="33353"/>
    <cellStyle name="表体文字居中(小) 57 3 2" xfId="33355"/>
    <cellStyle name="表体文字居中(小) 57 3 3" xfId="33357"/>
    <cellStyle name="表体文字居中(小) 57 3 4" xfId="33359"/>
    <cellStyle name="表体文字居中(小) 57 3 5" xfId="33361"/>
    <cellStyle name="表体文字居中(小) 57 3 6" xfId="33363"/>
    <cellStyle name="表体文字居中(小) 57 3 7" xfId="33365"/>
    <cellStyle name="表体文字居中(小) 57 3 8" xfId="33367"/>
    <cellStyle name="表体文字居中(小) 57 4" xfId="33369"/>
    <cellStyle name="表体文字居中(小) 57 5" xfId="33371"/>
    <cellStyle name="表体文字居中(小) 57 6" xfId="33373"/>
    <cellStyle name="表体文字居中(小) 57 7" xfId="33375"/>
    <cellStyle name="表体文字居中(小) 57 8" xfId="33377"/>
    <cellStyle name="表体文字居中(小) 57 9" xfId="33379"/>
    <cellStyle name="表体文字居中(小) 58" xfId="33381"/>
    <cellStyle name="表体文字居中(小) 58 10" xfId="24133"/>
    <cellStyle name="表体文字居中(小) 58 2" xfId="33383"/>
    <cellStyle name="表体文字居中(小) 58 2 2" xfId="33385"/>
    <cellStyle name="表体文字居中(小) 58 2 3" xfId="33387"/>
    <cellStyle name="表体文字居中(小) 58 2 4" xfId="33389"/>
    <cellStyle name="表体文字居中(小) 58 2 5" xfId="33391"/>
    <cellStyle name="表体文字居中(小) 58 2 6" xfId="33393"/>
    <cellStyle name="表体文字居中(小) 58 2 7" xfId="16548"/>
    <cellStyle name="表体文字居中(小) 58 2 8" xfId="16551"/>
    <cellStyle name="表体文字居中(小) 58 3" xfId="21947"/>
    <cellStyle name="表体文字居中(小) 58 3 2" xfId="33395"/>
    <cellStyle name="表体文字居中(小) 58 3 3" xfId="33397"/>
    <cellStyle name="表体文字居中(小) 58 3 4" xfId="33399"/>
    <cellStyle name="表体文字居中(小) 58 3 5" xfId="33401"/>
    <cellStyle name="表体文字居中(小) 58 3 6" xfId="33403"/>
    <cellStyle name="表体文字居中(小) 58 3 7" xfId="33405"/>
    <cellStyle name="表体文字居中(小) 58 3 8" xfId="33407"/>
    <cellStyle name="表体文字居中(小) 58 4" xfId="33409"/>
    <cellStyle name="表体文字居中(小) 58 5" xfId="33411"/>
    <cellStyle name="表体文字居中(小) 58 6" xfId="33413"/>
    <cellStyle name="表体文字居中(小) 58 7" xfId="33415"/>
    <cellStyle name="表体文字居中(小) 58 8" xfId="33417"/>
    <cellStyle name="表体文字居中(小) 58 9" xfId="33419"/>
    <cellStyle name="表体文字居中(小) 59" xfId="33421"/>
    <cellStyle name="表体文字居中(小) 59 10" xfId="26692"/>
    <cellStyle name="表体文字居中(小) 59 2" xfId="33423"/>
    <cellStyle name="表体文字居中(小) 59 2 2" xfId="33425"/>
    <cellStyle name="表体文字居中(小) 59 2 3" xfId="33427"/>
    <cellStyle name="表体文字居中(小) 59 2 4" xfId="30746"/>
    <cellStyle name="表体文字居中(小) 59 2 5" xfId="12338"/>
    <cellStyle name="表体文字居中(小) 59 2 6" xfId="12343"/>
    <cellStyle name="表体文字居中(小) 59 2 7" xfId="16580"/>
    <cellStyle name="表体文字居中(小) 59 2 8" xfId="16585"/>
    <cellStyle name="表体文字居中(小) 59 3" xfId="33429"/>
    <cellStyle name="表体文字居中(小) 59 3 2" xfId="33431"/>
    <cellStyle name="表体文字居中(小) 59 3 3" xfId="33433"/>
    <cellStyle name="表体文字居中(小) 59 3 4" xfId="30762"/>
    <cellStyle name="表体文字居中(小) 59 3 5" xfId="12349"/>
    <cellStyle name="表体文字居中(小) 59 3 6" xfId="12354"/>
    <cellStyle name="表体文字居中(小) 59 3 7" xfId="30791"/>
    <cellStyle name="表体文字居中(小) 59 3 8" xfId="30795"/>
    <cellStyle name="表体文字居中(小) 59 4" xfId="33435"/>
    <cellStyle name="表体文字居中(小) 59 5" xfId="33437"/>
    <cellStyle name="表体文字居中(小) 59 6" xfId="33439"/>
    <cellStyle name="表体文字居中(小) 59 7" xfId="33441"/>
    <cellStyle name="表体文字居中(小) 59 8" xfId="33443"/>
    <cellStyle name="表体文字居中(小) 59 9" xfId="33445"/>
    <cellStyle name="表体文字居中(小) 6" xfId="11023"/>
    <cellStyle name="表体文字居中(小) 6 10" xfId="33446"/>
    <cellStyle name="表体文字居中(小) 6 2" xfId="25281"/>
    <cellStyle name="表体文字居中(小) 6 2 2" xfId="9466"/>
    <cellStyle name="表体文字居中(小) 6 2 3" xfId="18660"/>
    <cellStyle name="表体文字居中(小) 6 2 4" xfId="18663"/>
    <cellStyle name="表体文字居中(小) 6 2 5" xfId="18666"/>
    <cellStyle name="表体文字居中(小) 6 2 6" xfId="18669"/>
    <cellStyle name="表体文字居中(小) 6 2 7" xfId="18672"/>
    <cellStyle name="表体文字居中(小) 6 2 8" xfId="18675"/>
    <cellStyle name="表体文字居中(小) 6 3" xfId="25283"/>
    <cellStyle name="表体文字居中(小) 6 3 2" xfId="9472"/>
    <cellStyle name="表体文字居中(小) 6 3 3" xfId="18684"/>
    <cellStyle name="表体文字居中(小) 6 3 4" xfId="18687"/>
    <cellStyle name="表体文字居中(小) 6 3 5" xfId="18690"/>
    <cellStyle name="表体文字居中(小) 6 3 6" xfId="18693"/>
    <cellStyle name="表体文字居中(小) 6 3 7" xfId="18696"/>
    <cellStyle name="表体文字居中(小) 6 3 8" xfId="18699"/>
    <cellStyle name="表体文字居中(小) 6 4" xfId="67"/>
    <cellStyle name="表体文字居中(小) 6 5" xfId="81"/>
    <cellStyle name="表体文字居中(小) 6 6" xfId="33447"/>
    <cellStyle name="表体文字居中(小) 6 7" xfId="33448"/>
    <cellStyle name="表体文字居中(小) 6 8" xfId="27351"/>
    <cellStyle name="表体文字居中(小) 6 9" xfId="3739"/>
    <cellStyle name="表体文字居中(小) 60" xfId="33298"/>
    <cellStyle name="表体文字居中(小) 60 10" xfId="23469"/>
    <cellStyle name="表体文字居中(小) 60 2" xfId="2858"/>
    <cellStyle name="表体文字居中(小) 60 2 2" xfId="2861"/>
    <cellStyle name="表体文字居中(小) 60 2 3" xfId="2865"/>
    <cellStyle name="表体文字居中(小) 60 2 4" xfId="33300"/>
    <cellStyle name="表体文字居中(小) 60 2 5" xfId="33302"/>
    <cellStyle name="表体文字居中(小) 60 2 6" xfId="33304"/>
    <cellStyle name="表体文字居中(小) 60 2 7" xfId="33306"/>
    <cellStyle name="表体文字居中(小) 60 2 8" xfId="33308"/>
    <cellStyle name="表体文字居中(小) 60 3" xfId="2869"/>
    <cellStyle name="表体文字居中(小) 60 3 2" xfId="2872"/>
    <cellStyle name="表体文字居中(小) 60 3 3" xfId="2876"/>
    <cellStyle name="表体文字居中(小) 60 3 4" xfId="33310"/>
    <cellStyle name="表体文字居中(小) 60 3 5" xfId="33312"/>
    <cellStyle name="表体文字居中(小) 60 3 6" xfId="33314"/>
    <cellStyle name="表体文字居中(小) 60 3 7" xfId="33316"/>
    <cellStyle name="表体文字居中(小) 60 3 8" xfId="33318"/>
    <cellStyle name="表体文字居中(小) 60 4" xfId="2880"/>
    <cellStyle name="表体文字居中(小) 60 5" xfId="2893"/>
    <cellStyle name="表体文字居中(小) 60 6" xfId="2905"/>
    <cellStyle name="表体文字居中(小) 60 7" xfId="2917"/>
    <cellStyle name="表体文字居中(小) 60 8" xfId="2923"/>
    <cellStyle name="表体文字居中(小) 60 9" xfId="33320"/>
    <cellStyle name="表体文字居中(小) 61" xfId="33322"/>
    <cellStyle name="表体文字居中(小) 61 10" xfId="13356"/>
    <cellStyle name="表体文字居中(小) 61 2" xfId="2955"/>
    <cellStyle name="表体文字居中(小) 61 2 2" xfId="2958"/>
    <cellStyle name="表体文字居中(小) 61 2 3" xfId="2962"/>
    <cellStyle name="表体文字居中(小) 61 2 4" xfId="33324"/>
    <cellStyle name="表体文字居中(小) 61 2 5" xfId="33326"/>
    <cellStyle name="表体文字居中(小) 61 2 6" xfId="33328"/>
    <cellStyle name="表体文字居中(小) 61 2 7" xfId="33330"/>
    <cellStyle name="表体文字居中(小) 61 2 8" xfId="33332"/>
    <cellStyle name="表体文字居中(小) 61 3" xfId="2967"/>
    <cellStyle name="表体文字居中(小) 61 3 2" xfId="2970"/>
    <cellStyle name="表体文字居中(小) 61 3 3" xfId="989"/>
    <cellStyle name="表体文字居中(小) 61 3 4" xfId="33334"/>
    <cellStyle name="表体文字居中(小) 61 3 5" xfId="33336"/>
    <cellStyle name="表体文字居中(小) 61 3 6" xfId="9396"/>
    <cellStyle name="表体文字居中(小) 61 3 7" xfId="9405"/>
    <cellStyle name="表体文字居中(小) 61 3 8" xfId="9414"/>
    <cellStyle name="表体文字居中(小) 61 4" xfId="2974"/>
    <cellStyle name="表体文字居中(小) 61 5" xfId="2978"/>
    <cellStyle name="表体文字居中(小) 61 6" xfId="2986"/>
    <cellStyle name="表体文字居中(小) 61 7" xfId="2992"/>
    <cellStyle name="表体文字居中(小) 61 8" xfId="2995"/>
    <cellStyle name="表体文字居中(小) 61 9" xfId="33338"/>
    <cellStyle name="表体文字居中(小) 62" xfId="33340"/>
    <cellStyle name="表体文字居中(小) 62 10" xfId="23874"/>
    <cellStyle name="表体文字居中(小) 62 2" xfId="314"/>
    <cellStyle name="表体文字居中(小) 62 2 2" xfId="33342"/>
    <cellStyle name="表体文字居中(小) 62 2 3" xfId="33344"/>
    <cellStyle name="表体文字居中(小) 62 2 4" xfId="33346"/>
    <cellStyle name="表体文字居中(小) 62 2 5" xfId="33348"/>
    <cellStyle name="表体文字居中(小) 62 2 6" xfId="33350"/>
    <cellStyle name="表体文字居中(小) 62 2 7" xfId="16519"/>
    <cellStyle name="表体文字居中(小) 62 2 8" xfId="16522"/>
    <cellStyle name="表体文字居中(小) 62 3" xfId="33352"/>
    <cellStyle name="表体文字居中(小) 62 3 2" xfId="33354"/>
    <cellStyle name="表体文字居中(小) 62 3 3" xfId="33356"/>
    <cellStyle name="表体文字居中(小) 62 3 4" xfId="33358"/>
    <cellStyle name="表体文字居中(小) 62 3 5" xfId="33360"/>
    <cellStyle name="表体文字居中(小) 62 3 6" xfId="33362"/>
    <cellStyle name="表体文字居中(小) 62 3 7" xfId="33364"/>
    <cellStyle name="表体文字居中(小) 62 3 8" xfId="33366"/>
    <cellStyle name="表体文字居中(小) 62 4" xfId="33368"/>
    <cellStyle name="表体文字居中(小) 62 5" xfId="33370"/>
    <cellStyle name="表体文字居中(小) 62 6" xfId="33372"/>
    <cellStyle name="表体文字居中(小) 62 7" xfId="33374"/>
    <cellStyle name="表体文字居中(小) 62 8" xfId="33376"/>
    <cellStyle name="表体文字居中(小) 62 9" xfId="33378"/>
    <cellStyle name="表体文字居中(小) 63" xfId="33380"/>
    <cellStyle name="表体文字居中(小) 63 10" xfId="24134"/>
    <cellStyle name="表体文字居中(小) 63 2" xfId="33382"/>
    <cellStyle name="表体文字居中(小) 63 2 2" xfId="33384"/>
    <cellStyle name="表体文字居中(小) 63 2 3" xfId="33386"/>
    <cellStyle name="表体文字居中(小) 63 2 4" xfId="33388"/>
    <cellStyle name="表体文字居中(小) 63 2 5" xfId="33390"/>
    <cellStyle name="表体文字居中(小) 63 2 6" xfId="33392"/>
    <cellStyle name="表体文字居中(小) 63 2 7" xfId="16549"/>
    <cellStyle name="表体文字居中(小) 63 2 8" xfId="16552"/>
    <cellStyle name="表体文字居中(小) 63 3" xfId="21948"/>
    <cellStyle name="表体文字居中(小) 63 3 2" xfId="33394"/>
    <cellStyle name="表体文字居中(小) 63 3 3" xfId="33396"/>
    <cellStyle name="表体文字居中(小) 63 3 4" xfId="33398"/>
    <cellStyle name="表体文字居中(小) 63 3 5" xfId="33400"/>
    <cellStyle name="表体文字居中(小) 63 3 6" xfId="33402"/>
    <cellStyle name="表体文字居中(小) 63 3 7" xfId="33404"/>
    <cellStyle name="表体文字居中(小) 63 3 8" xfId="33406"/>
    <cellStyle name="表体文字居中(小) 63 4" xfId="33408"/>
    <cellStyle name="表体文字居中(小) 63 5" xfId="33410"/>
    <cellStyle name="表体文字居中(小) 63 6" xfId="33412"/>
    <cellStyle name="表体文字居中(小) 63 7" xfId="33414"/>
    <cellStyle name="表体文字居中(小) 63 8" xfId="33416"/>
    <cellStyle name="表体文字居中(小) 63 9" xfId="33418"/>
    <cellStyle name="表体文字居中(小) 64" xfId="33420"/>
    <cellStyle name="表体文字居中(小) 64 10" xfId="26693"/>
    <cellStyle name="表体文字居中(小) 64 2" xfId="33422"/>
    <cellStyle name="表体文字居中(小) 64 2 2" xfId="33424"/>
    <cellStyle name="表体文字居中(小) 64 2 3" xfId="33426"/>
    <cellStyle name="表体文字居中(小) 64 2 4" xfId="30747"/>
    <cellStyle name="表体文字居中(小) 64 2 5" xfId="12339"/>
    <cellStyle name="表体文字居中(小) 64 2 6" xfId="12344"/>
    <cellStyle name="表体文字居中(小) 64 2 7" xfId="16581"/>
    <cellStyle name="表体文字居中(小) 64 2 8" xfId="16586"/>
    <cellStyle name="表体文字居中(小) 64 3" xfId="33428"/>
    <cellStyle name="表体文字居中(小) 64 3 2" xfId="33430"/>
    <cellStyle name="表体文字居中(小) 64 3 3" xfId="33432"/>
    <cellStyle name="表体文字居中(小) 64 3 4" xfId="30763"/>
    <cellStyle name="表体文字居中(小) 64 3 5" xfId="12350"/>
    <cellStyle name="表体文字居中(小) 64 3 6" xfId="12355"/>
    <cellStyle name="表体文字居中(小) 64 3 7" xfId="30792"/>
    <cellStyle name="表体文字居中(小) 64 3 8" xfId="30796"/>
    <cellStyle name="表体文字居中(小) 64 4" xfId="33434"/>
    <cellStyle name="表体文字居中(小) 64 5" xfId="33436"/>
    <cellStyle name="表体文字居中(小) 64 6" xfId="33438"/>
    <cellStyle name="表体文字居中(小) 64 7" xfId="33440"/>
    <cellStyle name="表体文字居中(小) 64 8" xfId="33442"/>
    <cellStyle name="表体文字居中(小) 64 9" xfId="33444"/>
    <cellStyle name="表体文字居中(小) 65" xfId="33450"/>
    <cellStyle name="表体文字居中(小) 65 10" xfId="33451"/>
    <cellStyle name="表体文字居中(小) 65 2" xfId="3010"/>
    <cellStyle name="表体文字居中(小) 65 2 2" xfId="33452"/>
    <cellStyle name="表体文字居中(小) 65 2 3" xfId="33453"/>
    <cellStyle name="表体文字居中(小) 65 2 4" xfId="33454"/>
    <cellStyle name="表体文字居中(小) 65 2 5" xfId="12387"/>
    <cellStyle name="表体文字居中(小) 65 2 6" xfId="12389"/>
    <cellStyle name="表体文字居中(小) 65 2 7" xfId="16606"/>
    <cellStyle name="表体文字居中(小) 65 2 8" xfId="16608"/>
    <cellStyle name="表体文字居中(小) 65 3" xfId="33455"/>
    <cellStyle name="表体文字居中(小) 65 3 2" xfId="11919"/>
    <cellStyle name="表体文字居中(小) 65 3 3" xfId="33456"/>
    <cellStyle name="表体文字居中(小) 65 3 4" xfId="33457"/>
    <cellStyle name="表体文字居中(小) 65 3 5" xfId="12391"/>
    <cellStyle name="表体文字居中(小) 65 3 6" xfId="12393"/>
    <cellStyle name="表体文字居中(小) 65 3 7" xfId="33458"/>
    <cellStyle name="表体文字居中(小) 65 3 8" xfId="33459"/>
    <cellStyle name="表体文字居中(小) 65 4" xfId="33460"/>
    <cellStyle name="表体文字居中(小) 65 5" xfId="33461"/>
    <cellStyle name="表体文字居中(小) 65 6" xfId="33462"/>
    <cellStyle name="表体文字居中(小) 65 7" xfId="33463"/>
    <cellStyle name="表体文字居中(小) 65 8" xfId="33464"/>
    <cellStyle name="表体文字居中(小) 65 9" xfId="33465"/>
    <cellStyle name="表体文字居中(小) 66" xfId="24659"/>
    <cellStyle name="表体文字居中(小) 66 10" xfId="13371"/>
    <cellStyle name="表体文字居中(小) 66 2" xfId="24663"/>
    <cellStyle name="表体文字居中(小) 66 2 2" xfId="33466"/>
    <cellStyle name="表体文字居中(小) 66 2 3" xfId="33467"/>
    <cellStyle name="表体文字居中(小) 66 2 4" xfId="33468"/>
    <cellStyle name="表体文字居中(小) 66 2 5" xfId="33469"/>
    <cellStyle name="表体文字居中(小) 66 2 6" xfId="33470"/>
    <cellStyle name="表体文字居中(小) 66 2 7" xfId="16624"/>
    <cellStyle name="表体文字居中(小) 66 2 8" xfId="16626"/>
    <cellStyle name="表体文字居中(小) 66 3" xfId="24666"/>
    <cellStyle name="表体文字居中(小) 66 3 2" xfId="33471"/>
    <cellStyle name="表体文字居中(小) 66 3 3" xfId="33472"/>
    <cellStyle name="表体文字居中(小) 66 3 4" xfId="33473"/>
    <cellStyle name="表体文字居中(小) 66 3 5" xfId="33474"/>
    <cellStyle name="表体文字居中(小) 66 3 6" xfId="33475"/>
    <cellStyle name="表体文字居中(小) 66 3 7" xfId="33476"/>
    <cellStyle name="表体文字居中(小) 66 3 8" xfId="33477"/>
    <cellStyle name="表体文字居中(小) 66 4" xfId="24669"/>
    <cellStyle name="表体文字居中(小) 66 5" xfId="24672"/>
    <cellStyle name="表体文字居中(小) 66 6" xfId="24675"/>
    <cellStyle name="表体文字居中(小) 66 7" xfId="24678"/>
    <cellStyle name="表体文字居中(小) 66 8" xfId="24681"/>
    <cellStyle name="表体文字居中(小) 66 9" xfId="33478"/>
    <cellStyle name="表体文字居中(小) 67" xfId="24684"/>
    <cellStyle name="表体文字居中(小) 67 2" xfId="3019"/>
    <cellStyle name="表体文字居中(小) 67 3" xfId="24688"/>
    <cellStyle name="表体文字居中(小) 67 4" xfId="24691"/>
    <cellStyle name="表体文字居中(小) 67 5" xfId="24694"/>
    <cellStyle name="表体文字居中(小) 67 6" xfId="24697"/>
    <cellStyle name="表体文字居中(小) 67 7" xfId="24700"/>
    <cellStyle name="表体文字居中(小) 67 8" xfId="24703"/>
    <cellStyle name="表体文字居中(小) 68" xfId="24706"/>
    <cellStyle name="表体文字居中(小) 68 2" xfId="14782"/>
    <cellStyle name="表体文字居中(小) 68 3" xfId="14787"/>
    <cellStyle name="表体文字居中(小) 68 4" xfId="14790"/>
    <cellStyle name="表体文字居中(小) 68 5" xfId="14793"/>
    <cellStyle name="表体文字居中(小) 68 6" xfId="14796"/>
    <cellStyle name="表体文字居中(小) 68 7" xfId="14801"/>
    <cellStyle name="表体文字居中(小) 68 8" xfId="27044"/>
    <cellStyle name="表体文字居中(小) 69" xfId="24710"/>
    <cellStyle name="表体文字居中(小) 7" xfId="11026"/>
    <cellStyle name="表体文字居中(小) 7 10" xfId="27653"/>
    <cellStyle name="表体文字居中(小) 7 2" xfId="33479"/>
    <cellStyle name="表体文字居中(小) 7 2 2" xfId="33480"/>
    <cellStyle name="表体文字居中(小) 7 2 3" xfId="18722"/>
    <cellStyle name="表体文字居中(小) 7 2 4" xfId="18725"/>
    <cellStyle name="表体文字居中(小) 7 2 5" xfId="18728"/>
    <cellStyle name="表体文字居中(小) 7 2 6" xfId="18731"/>
    <cellStyle name="表体文字居中(小) 7 2 7" xfId="18734"/>
    <cellStyle name="表体文字居中(小) 7 2 8" xfId="18737"/>
    <cellStyle name="表体文字居中(小) 7 3" xfId="33481"/>
    <cellStyle name="表体文字居中(小) 7 3 2" xfId="33482"/>
    <cellStyle name="表体文字居中(小) 7 3 3" xfId="18744"/>
    <cellStyle name="表体文字居中(小) 7 3 4" xfId="18747"/>
    <cellStyle name="表体文字居中(小) 7 3 5" xfId="18750"/>
    <cellStyle name="表体文字居中(小) 7 3 6" xfId="18753"/>
    <cellStyle name="表体文字居中(小) 7 3 7" xfId="18756"/>
    <cellStyle name="表体文字居中(小) 7 3 8" xfId="18760"/>
    <cellStyle name="表体文字居中(小) 7 4" xfId="33483"/>
    <cellStyle name="表体文字居中(小) 7 5" xfId="33484"/>
    <cellStyle name="表体文字居中(小) 7 6" xfId="33485"/>
    <cellStyle name="表体文字居中(小) 7 7" xfId="33486"/>
    <cellStyle name="表体文字居中(小) 7 8" xfId="33487"/>
    <cellStyle name="表体文字居中(小) 7 9" xfId="3756"/>
    <cellStyle name="表体文字居中(小) 70" xfId="33449"/>
    <cellStyle name="表体文字居中(小) 71" xfId="24660"/>
    <cellStyle name="表体文字居中(小) 72" xfId="24685"/>
    <cellStyle name="表体文字居中(小) 73" xfId="24707"/>
    <cellStyle name="表体文字居中(小) 74" xfId="24711"/>
    <cellStyle name="表体文字居中(小) 75" xfId="24714"/>
    <cellStyle name="表体文字居中(小) 8" xfId="11029"/>
    <cellStyle name="表体文字居中(小) 8 10" xfId="33488"/>
    <cellStyle name="表体文字居中(小) 8 2" xfId="33489"/>
    <cellStyle name="表体文字居中(小) 8 2 2" xfId="29449"/>
    <cellStyle name="表体文字居中(小) 8 2 3" xfId="18784"/>
    <cellStyle name="表体文字居中(小) 8 2 4" xfId="18787"/>
    <cellStyle name="表体文字居中(小) 8 2 5" xfId="18790"/>
    <cellStyle name="表体文字居中(小) 8 2 6" xfId="18793"/>
    <cellStyle name="表体文字居中(小) 8 2 7" xfId="18796"/>
    <cellStyle name="表体文字居中(小) 8 2 8" xfId="18799"/>
    <cellStyle name="表体文字居中(小) 8 3" xfId="33490"/>
    <cellStyle name="表体文字居中(小) 8 3 2" xfId="33491"/>
    <cellStyle name="表体文字居中(小) 8 3 3" xfId="18806"/>
    <cellStyle name="表体文字居中(小) 8 3 4" xfId="18809"/>
    <cellStyle name="表体文字居中(小) 8 3 5" xfId="18813"/>
    <cellStyle name="表体文字居中(小) 8 3 6" xfId="18817"/>
    <cellStyle name="表体文字居中(小) 8 3 7" xfId="18821"/>
    <cellStyle name="表体文字居中(小) 8 3 8" xfId="18825"/>
    <cellStyle name="表体文字居中(小) 8 4" xfId="5063"/>
    <cellStyle name="表体文字居中(小) 8 5" xfId="4846"/>
    <cellStyle name="表体文字居中(小) 8 6" xfId="33492"/>
    <cellStyle name="表体文字居中(小) 8 7" xfId="33493"/>
    <cellStyle name="表体文字居中(小) 8 8" xfId="33494"/>
    <cellStyle name="表体文字居中(小) 8 9" xfId="3772"/>
    <cellStyle name="表体文字居中(小) 9" xfId="16965"/>
    <cellStyle name="表体文字居中(小) 9 10" xfId="1418"/>
    <cellStyle name="表体文字居中(小) 9 2" xfId="33495"/>
    <cellStyle name="表体文字居中(小) 9 2 2" xfId="33496"/>
    <cellStyle name="表体文字居中(小) 9 2 3" xfId="7610"/>
    <cellStyle name="表体文字居中(小) 9 2 4" xfId="7614"/>
    <cellStyle name="表体文字居中(小) 9 2 5" xfId="18849"/>
    <cellStyle name="表体文字居中(小) 9 2 6" xfId="16508"/>
    <cellStyle name="表体文字居中(小) 9 2 7" xfId="18854"/>
    <cellStyle name="表体文字居中(小) 9 2 8" xfId="18859"/>
    <cellStyle name="表体文字居中(小) 9 3" xfId="33497"/>
    <cellStyle name="表体文字居中(小) 9 3 2" xfId="33498"/>
    <cellStyle name="表体文字居中(小) 9 3 3" xfId="7575"/>
    <cellStyle name="表体文字居中(小) 9 3 4" xfId="3544"/>
    <cellStyle name="表体文字居中(小) 9 3 5" xfId="18868"/>
    <cellStyle name="表体文字居中(小) 9 3 6" xfId="18873"/>
    <cellStyle name="表体文字居中(小) 9 3 7" xfId="18878"/>
    <cellStyle name="表体文字居中(小) 9 3 8" xfId="18883"/>
    <cellStyle name="表体文字居中(小) 9 4" xfId="33499"/>
    <cellStyle name="表体文字居中(小) 9 5" xfId="33500"/>
    <cellStyle name="表体文字居中(小) 9 6" xfId="33501"/>
    <cellStyle name="表体文字居中(小) 9 7" xfId="33502"/>
    <cellStyle name="表体文字居中(小) 9 8" xfId="33503"/>
    <cellStyle name="表体文字居中(小) 9 9" xfId="3780"/>
    <cellStyle name="表体文字居中_Excel陶圆第三合同段签证部分土建" xfId="27723"/>
    <cellStyle name="表头" xfId="33504"/>
    <cellStyle name="表头 2" xfId="18278"/>
    <cellStyle name="表头 2 2" xfId="1966"/>
    <cellStyle name="表头 3" xfId="18280"/>
    <cellStyle name="表头 3 2" xfId="33505"/>
    <cellStyle name="表头 4" xfId="18282"/>
    <cellStyle name="表头(小)" xfId="26499"/>
    <cellStyle name="表头(小) 2" xfId="23987"/>
    <cellStyle name="表头(小) 2 2" xfId="25788"/>
    <cellStyle name="表头(小) 3" xfId="23992"/>
    <cellStyle name="表头(小) 3 2" xfId="25868"/>
    <cellStyle name="表头(小) 4" xfId="23997"/>
    <cellStyle name="表头_安装清单" xfId="6352"/>
    <cellStyle name="表头标题" xfId="33506"/>
    <cellStyle name="表头标题 10" xfId="33507"/>
    <cellStyle name="表头标题 11" xfId="33508"/>
    <cellStyle name="表头标题 12" xfId="33509"/>
    <cellStyle name="表头标题 13" xfId="33510"/>
    <cellStyle name="表头标题 14" xfId="33511"/>
    <cellStyle name="表头标题 15" xfId="33513"/>
    <cellStyle name="表头标题 16" xfId="150"/>
    <cellStyle name="表头标题 17" xfId="119"/>
    <cellStyle name="表头标题 18" xfId="33515"/>
    <cellStyle name="表头标题 19" xfId="33516"/>
    <cellStyle name="表头标题 2" xfId="17884"/>
    <cellStyle name="表头标题 2 2" xfId="27031"/>
    <cellStyle name="表头标题 20" xfId="33512"/>
    <cellStyle name="表头标题 21" xfId="151"/>
    <cellStyle name="表头标题 22" xfId="120"/>
    <cellStyle name="表头标题 23" xfId="33514"/>
    <cellStyle name="表头标题 3" xfId="17887"/>
    <cellStyle name="表头标题 3 10" xfId="33517"/>
    <cellStyle name="表头标题 3 2" xfId="27069"/>
    <cellStyle name="表头标题 3 3" xfId="27072"/>
    <cellStyle name="表头标题 3 4" xfId="27075"/>
    <cellStyle name="表头标题 3 5" xfId="27080"/>
    <cellStyle name="表头标题 3 6" xfId="27085"/>
    <cellStyle name="表头标题 3 7" xfId="27090"/>
    <cellStyle name="表头标题 3 8" xfId="30432"/>
    <cellStyle name="表头标题 3 9" xfId="30435"/>
    <cellStyle name="表头标题 4" xfId="17890"/>
    <cellStyle name="表头标题 4 10" xfId="33518"/>
    <cellStyle name="表头标题 4 2" xfId="19895"/>
    <cellStyle name="表头标题 4 3" xfId="19914"/>
    <cellStyle name="表头标题 4 4" xfId="19935"/>
    <cellStyle name="表头标题 4 5" xfId="19968"/>
    <cellStyle name="表头标题 4 6" xfId="19982"/>
    <cellStyle name="表头标题 4 7" xfId="19990"/>
    <cellStyle name="表头标题 4 8" xfId="20088"/>
    <cellStyle name="表头标题 4 9" xfId="20153"/>
    <cellStyle name="表头标题 5" xfId="17893"/>
    <cellStyle name="表头标题 6" xfId="33519"/>
    <cellStyle name="表头标题 7" xfId="33520"/>
    <cellStyle name="表头标题 8" xfId="33521"/>
    <cellStyle name="表头标题 9" xfId="33522"/>
    <cellStyle name="部门" xfId="33523"/>
    <cellStyle name="部门 10" xfId="33524"/>
    <cellStyle name="部门 11" xfId="33525"/>
    <cellStyle name="部门 12" xfId="33526"/>
    <cellStyle name="部门 13" xfId="33527"/>
    <cellStyle name="部门 14" xfId="33528"/>
    <cellStyle name="部门 15" xfId="33529"/>
    <cellStyle name="部门 16" xfId="33531"/>
    <cellStyle name="部门 17" xfId="33533"/>
    <cellStyle name="部门 18" xfId="33535"/>
    <cellStyle name="部门 19" xfId="33537"/>
    <cellStyle name="部门 2" xfId="33539"/>
    <cellStyle name="部门 2 10" xfId="33540"/>
    <cellStyle name="部门 2 2" xfId="33541"/>
    <cellStyle name="部门 2 3" xfId="33542"/>
    <cellStyle name="部门 2 4" xfId="33543"/>
    <cellStyle name="部门 2 5" xfId="33544"/>
    <cellStyle name="部门 2 6" xfId="33545"/>
    <cellStyle name="部门 2 7" xfId="33546"/>
    <cellStyle name="部门 2 8" xfId="33547"/>
    <cellStyle name="部门 2 9" xfId="33548"/>
    <cellStyle name="部门 20" xfId="33530"/>
    <cellStyle name="部门 21" xfId="33532"/>
    <cellStyle name="部门 22" xfId="33534"/>
    <cellStyle name="部门 23" xfId="33536"/>
    <cellStyle name="部门 24" xfId="33538"/>
    <cellStyle name="部门 25" xfId="33549"/>
    <cellStyle name="部门 26" xfId="33551"/>
    <cellStyle name="部门 27" xfId="33553"/>
    <cellStyle name="部门 28" xfId="33555"/>
    <cellStyle name="部门 29" xfId="33557"/>
    <cellStyle name="部门 3" xfId="33559"/>
    <cellStyle name="部门 3 10" xfId="33560"/>
    <cellStyle name="部门 3 2" xfId="33561"/>
    <cellStyle name="部门 3 3" xfId="33562"/>
    <cellStyle name="部门 3 4" xfId="33563"/>
    <cellStyle name="部门 3 5" xfId="33564"/>
    <cellStyle name="部门 3 6" xfId="33565"/>
    <cellStyle name="部门 3 7" xfId="33566"/>
    <cellStyle name="部门 3 8" xfId="33567"/>
    <cellStyle name="部门 3 9" xfId="33568"/>
    <cellStyle name="部门 30" xfId="33550"/>
    <cellStyle name="部门 31" xfId="33552"/>
    <cellStyle name="部门 32" xfId="33554"/>
    <cellStyle name="部门 33" xfId="33556"/>
    <cellStyle name="部门 34" xfId="33558"/>
    <cellStyle name="部门 35" xfId="33569"/>
    <cellStyle name="部门 36" xfId="33570"/>
    <cellStyle name="部门 37" xfId="33571"/>
    <cellStyle name="部门 4" xfId="33572"/>
    <cellStyle name="部门 5" xfId="33573"/>
    <cellStyle name="部门 6" xfId="33574"/>
    <cellStyle name="部门 7" xfId="33575"/>
    <cellStyle name="部门 8" xfId="33576"/>
    <cellStyle name="部门 9" xfId="7518"/>
    <cellStyle name="差 10" xfId="33577"/>
    <cellStyle name="差 11" xfId="33578"/>
    <cellStyle name="差 12" xfId="33579"/>
    <cellStyle name="差 13" xfId="33580"/>
    <cellStyle name="差 14" xfId="33581"/>
    <cellStyle name="差 15" xfId="33582"/>
    <cellStyle name="差 2" xfId="33583"/>
    <cellStyle name="差 2 2" xfId="33584"/>
    <cellStyle name="差 3" xfId="33585"/>
    <cellStyle name="差 4" xfId="33586"/>
    <cellStyle name="差 5" xfId="33587"/>
    <cellStyle name="差 6" xfId="33588"/>
    <cellStyle name="差 7" xfId="33589"/>
    <cellStyle name="差 8" xfId="33590"/>
    <cellStyle name="差 9" xfId="33591"/>
    <cellStyle name="差_20110414015834锦绣城安装总包标底201104072" xfId="33592"/>
    <cellStyle name="差_B11-B14钢结构(栏杆.楼梯),景观铺贴,总坪管网道路,,植物工程清单模板" xfId="33593"/>
    <cellStyle name="差_B11-B14钢结构(栏杆.楼梯),景观铺贴,总坪管网道路,,植物工程清单模板 10" xfId="33594"/>
    <cellStyle name="差_B11-B14钢结构(栏杆.楼梯),景观铺贴,总坪管网道路,,植物工程清单模板 11" xfId="33595"/>
    <cellStyle name="差_B11-B14钢结构(栏杆.楼梯),景观铺贴,总坪管网道路,,植物工程清单模板 12" xfId="33596"/>
    <cellStyle name="差_B11-B14钢结构(栏杆.楼梯),景观铺贴,总坪管网道路,,植物工程清单模板 13" xfId="33597"/>
    <cellStyle name="差_B11-B14钢结构(栏杆.楼梯),景观铺贴,总坪管网道路,,植物工程清单模板 14" xfId="1492"/>
    <cellStyle name="差_B11-B14钢结构(栏杆.楼梯),景观铺贴,总坪管网道路,,植物工程清单模板 15" xfId="1510"/>
    <cellStyle name="差_B11-B14钢结构(栏杆.楼梯),景观铺贴,总坪管网道路,,植物工程清单模板 16" xfId="1534"/>
    <cellStyle name="差_B11-B14钢结构(栏杆.楼梯),景观铺贴,总坪管网道路,,植物工程清单模板 17" xfId="1546"/>
    <cellStyle name="差_B11-B14钢结构(栏杆.楼梯),景观铺贴,总坪管网道路,,植物工程清单模板 18" xfId="420"/>
    <cellStyle name="差_B11-B14钢结构(栏杆.楼梯),景观铺贴,总坪管网道路,,植物工程清单模板 19" xfId="436"/>
    <cellStyle name="差_B11-B14钢结构(栏杆.楼梯),景观铺贴,总坪管网道路,,植物工程清单模板 2" xfId="33598"/>
    <cellStyle name="差_B11-B14钢结构(栏杆.楼梯),景观铺贴,总坪管网道路,,植物工程清单模板 2 10" xfId="33599"/>
    <cellStyle name="差_B11-B14钢结构(栏杆.楼梯),景观铺贴,总坪管网道路,,植物工程清单模板 2 2" xfId="33600"/>
    <cellStyle name="差_B11-B14钢结构(栏杆.楼梯),景观铺贴,总坪管网道路,,植物工程清单模板 2 3" xfId="33601"/>
    <cellStyle name="差_B11-B14钢结构(栏杆.楼梯),景观铺贴,总坪管网道路,,植物工程清单模板 2 4" xfId="33602"/>
    <cellStyle name="差_B11-B14钢结构(栏杆.楼梯),景观铺贴,总坪管网道路,,植物工程清单模板 2 5" xfId="33603"/>
    <cellStyle name="差_B11-B14钢结构(栏杆.楼梯),景观铺贴,总坪管网道路,,植物工程清单模板 2 6" xfId="33604"/>
    <cellStyle name="差_B11-B14钢结构(栏杆.楼梯),景观铺贴,总坪管网道路,,植物工程清单模板 2 7" xfId="33605"/>
    <cellStyle name="差_B11-B14钢结构(栏杆.楼梯),景观铺贴,总坪管网道路,,植物工程清单模板 2 8" xfId="33606"/>
    <cellStyle name="差_B11-B14钢结构(栏杆.楼梯),景观铺贴,总坪管网道路,,植物工程清单模板 2 9" xfId="33607"/>
    <cellStyle name="差_B11-B14钢结构(栏杆.楼梯),景观铺贴,总坪管网道路,,植物工程清单模板 20" xfId="1511"/>
    <cellStyle name="差_B11-B14钢结构(栏杆.楼梯),景观铺贴,总坪管网道路,,植物工程清单模板 21" xfId="1535"/>
    <cellStyle name="差_B11-B14钢结构(栏杆.楼梯),景观铺贴,总坪管网道路,,植物工程清单模板 22" xfId="1547"/>
    <cellStyle name="差_B11-B14钢结构(栏杆.楼梯),景观铺贴,总坪管网道路,,植物工程清单模板 22 2" xfId="33608"/>
    <cellStyle name="差_B11-B14钢结构(栏杆.楼梯),景观铺贴,总坪管网道路,,植物工程清单模板 22 3" xfId="33609"/>
    <cellStyle name="差_B11-B14钢结构(栏杆.楼梯),景观铺贴,总坪管网道路,,植物工程清单模板 23" xfId="419"/>
    <cellStyle name="差_B11-B14钢结构(栏杆.楼梯),景观铺贴,总坪管网道路,,植物工程清单模板 23 2" xfId="33610"/>
    <cellStyle name="差_B11-B14钢结构(栏杆.楼梯),景观铺贴,总坪管网道路,,植物工程清单模板 23 3" xfId="33611"/>
    <cellStyle name="差_B11-B14钢结构(栏杆.楼梯),景观铺贴,总坪管网道路,,植物工程清单模板 24" xfId="435"/>
    <cellStyle name="差_B11-B14钢结构(栏杆.楼梯),景观铺贴,总坪管网道路,,植物工程清单模板 24 2" xfId="33612"/>
    <cellStyle name="差_B11-B14钢结构(栏杆.楼梯),景观铺贴,总坪管网道路,,植物工程清单模板 24 3" xfId="33613"/>
    <cellStyle name="差_B11-B14钢结构(栏杆.楼梯),景观铺贴,总坪管网道路,,植物工程清单模板 25" xfId="97"/>
    <cellStyle name="差_B11-B14钢结构(栏杆.楼梯),景观铺贴,总坪管网道路,,植物工程清单模板 25 2" xfId="33614"/>
    <cellStyle name="差_B11-B14钢结构(栏杆.楼梯),景观铺贴,总坪管网道路,,植物工程清单模板 25 3" xfId="33615"/>
    <cellStyle name="差_B11-B14钢结构(栏杆.楼梯),景观铺贴,总坪管网道路,,植物工程清单模板 26" xfId="33616"/>
    <cellStyle name="差_B11-B14钢结构(栏杆.楼梯),景观铺贴,总坪管网道路,,植物工程清单模板 26 2" xfId="33617"/>
    <cellStyle name="差_B11-B14钢结构(栏杆.楼梯),景观铺贴,总坪管网道路,,植物工程清单模板 26 3" xfId="33618"/>
    <cellStyle name="差_B11-B14钢结构(栏杆.楼梯),景观铺贴,总坪管网道路,,植物工程清单模板 27" xfId="33619"/>
    <cellStyle name="差_B11-B14钢结构(栏杆.楼梯),景观铺贴,总坪管网道路,,植物工程清单模板 27 2" xfId="33620"/>
    <cellStyle name="差_B11-B14钢结构(栏杆.楼梯),景观铺贴,总坪管网道路,,植物工程清单模板 27 3" xfId="33621"/>
    <cellStyle name="差_B11-B14钢结构(栏杆.楼梯),景观铺贴,总坪管网道路,,植物工程清单模板 28" xfId="33622"/>
    <cellStyle name="差_B11-B14钢结构(栏杆.楼梯),景观铺贴,总坪管网道路,,植物工程清单模板 28 2" xfId="33623"/>
    <cellStyle name="差_B11-B14钢结构(栏杆.楼梯),景观铺贴,总坪管网道路,,植物工程清单模板 28 3" xfId="33624"/>
    <cellStyle name="差_B11-B14钢结构(栏杆.楼梯),景观铺贴,总坪管网道路,,植物工程清单模板 29" xfId="33625"/>
    <cellStyle name="差_B11-B14钢结构(栏杆.楼梯),景观铺贴,总坪管网道路,,植物工程清单模板 29 2" xfId="33626"/>
    <cellStyle name="差_B11-B14钢结构(栏杆.楼梯),景观铺贴,总坪管网道路,,植物工程清单模板 29 3" xfId="33627"/>
    <cellStyle name="差_B11-B14钢结构(栏杆.楼梯),景观铺贴,总坪管网道路,,植物工程清单模板 3" xfId="33628"/>
    <cellStyle name="差_B11-B14钢结构(栏杆.楼梯),景观铺贴,总坪管网道路,,植物工程清单模板 3 10" xfId="33629"/>
    <cellStyle name="差_B11-B14钢结构(栏杆.楼梯),景观铺贴,总坪管网道路,,植物工程清单模板 3 11" xfId="33630"/>
    <cellStyle name="差_B11-B14钢结构(栏杆.楼梯),景观铺贴,总坪管网道路,,植物工程清单模板 3 12" xfId="33631"/>
    <cellStyle name="差_B11-B14钢结构(栏杆.楼梯),景观铺贴,总坪管网道路,,植物工程清单模板 3 2" xfId="33632"/>
    <cellStyle name="差_B11-B14钢结构(栏杆.楼梯),景观铺贴,总坪管网道路,,植物工程清单模板 3 3" xfId="33633"/>
    <cellStyle name="差_B11-B14钢结构(栏杆.楼梯),景观铺贴,总坪管网道路,,植物工程清单模板 3 4" xfId="33634"/>
    <cellStyle name="差_B11-B14钢结构(栏杆.楼梯),景观铺贴,总坪管网道路,,植物工程清单模板 3 5" xfId="33635"/>
    <cellStyle name="差_B11-B14钢结构(栏杆.楼梯),景观铺贴,总坪管网道路,,植物工程清单模板 3 6" xfId="1213"/>
    <cellStyle name="差_B11-B14钢结构(栏杆.楼梯),景观铺贴,总坪管网道路,,植物工程清单模板 3 7" xfId="33636"/>
    <cellStyle name="差_B11-B14钢结构(栏杆.楼梯),景观铺贴,总坪管网道路,,植物工程清单模板 3 8" xfId="33637"/>
    <cellStyle name="差_B11-B14钢结构(栏杆.楼梯),景观铺贴,总坪管网道路,,植物工程清单模板 3 9" xfId="33638"/>
    <cellStyle name="差_B11-B14钢结构(栏杆.楼梯),景观铺贴,总坪管网道路,,植物工程清单模板 4" xfId="33639"/>
    <cellStyle name="差_B11-B14钢结构(栏杆.楼梯),景观铺贴,总坪管网道路,,植物工程清单模板 5" xfId="33640"/>
    <cellStyle name="差_B11-B14钢结构(栏杆.楼梯),景观铺贴,总坪管网道路,,植物工程清单模板 6" xfId="33641"/>
    <cellStyle name="差_B11-B14钢结构(栏杆.楼梯),景观铺贴,总坪管网道路,,植物工程清单模板 7" xfId="33642"/>
    <cellStyle name="差_B11-B14钢结构(栏杆.楼梯),景观铺贴,总坪管网道路,,植物工程清单模板 8" xfId="33643"/>
    <cellStyle name="差_B11-B14钢结构(栏杆.楼梯),景观铺贴,总坪管网道路,,植物工程清单模板 9" xfId="33644"/>
    <cellStyle name="差_Book1" xfId="33645"/>
    <cellStyle name="差_MERALCO" xfId="33646"/>
    <cellStyle name="差_报价4" xfId="33647"/>
    <cellStyle name="差_报价4 2" xfId="33648"/>
    <cellStyle name="差_报价4 2 2" xfId="33649"/>
    <cellStyle name="差_报价4 3" xfId="33650"/>
    <cellStyle name="差_报价4 4" xfId="14000"/>
    <cellStyle name="差_报价4 5" xfId="25499"/>
    <cellStyle name="差_报价4 6" xfId="25502"/>
    <cellStyle name="差_报价4 7" xfId="25505"/>
    <cellStyle name="差_报价4 8" xfId="25508"/>
    <cellStyle name="差_报价4 9" xfId="25511"/>
    <cellStyle name="差_锦绣城3号地土建总包标底（II标段）" xfId="33651"/>
    <cellStyle name="差_土建清单 (高层)" xfId="33652"/>
    <cellStyle name="差_土建清单 (高层) 2" xfId="33653"/>
    <cellStyle name="差_土建清单 (高层) 3" xfId="33654"/>
    <cellStyle name="差_外墙保温工程量清单" xfId="33655"/>
    <cellStyle name="差_一期景观安装工程" xfId="33656"/>
    <cellStyle name="差_一期景观安装工程 10" xfId="33657"/>
    <cellStyle name="差_一期景观安装工程 11" xfId="33658"/>
    <cellStyle name="差_一期景观安装工程 12" xfId="33659"/>
    <cellStyle name="差_一期景观安装工程 13" xfId="33660"/>
    <cellStyle name="差_一期景观安装工程 14" xfId="33661"/>
    <cellStyle name="差_一期景观安装工程 15" xfId="33662"/>
    <cellStyle name="差_一期景观安装工程 16" xfId="33664"/>
    <cellStyle name="差_一期景观安装工程 17" xfId="33666"/>
    <cellStyle name="差_一期景观安装工程 18" xfId="33668"/>
    <cellStyle name="差_一期景观安装工程 19" xfId="33670"/>
    <cellStyle name="差_一期景观安装工程 2" xfId="33672"/>
    <cellStyle name="差_一期景观安装工程 2 10" xfId="33673"/>
    <cellStyle name="差_一期景观安装工程 2 2" xfId="33674"/>
    <cellStyle name="差_一期景观安装工程 2 3" xfId="33675"/>
    <cellStyle name="差_一期景观安装工程 2 4" xfId="33676"/>
    <cellStyle name="差_一期景观安装工程 2 5" xfId="33677"/>
    <cellStyle name="差_一期景观安装工程 2 6" xfId="33678"/>
    <cellStyle name="差_一期景观安装工程 2 7" xfId="33679"/>
    <cellStyle name="差_一期景观安装工程 2 8" xfId="33680"/>
    <cellStyle name="差_一期景观安装工程 2 9" xfId="33681"/>
    <cellStyle name="差_一期景观安装工程 20" xfId="33663"/>
    <cellStyle name="差_一期景观安装工程 21" xfId="33665"/>
    <cellStyle name="差_一期景观安装工程 22" xfId="33667"/>
    <cellStyle name="差_一期景观安装工程 23" xfId="33669"/>
    <cellStyle name="差_一期景观安装工程 24" xfId="33671"/>
    <cellStyle name="差_一期景观安装工程 25" xfId="33682"/>
    <cellStyle name="差_一期景观安装工程 26" xfId="33683"/>
    <cellStyle name="差_一期景观安装工程 27" xfId="33684"/>
    <cellStyle name="差_一期景观安装工程 28" xfId="33685"/>
    <cellStyle name="差_一期景观安装工程 29" xfId="33686"/>
    <cellStyle name="差_一期景观安装工程 3" xfId="33687"/>
    <cellStyle name="差_一期景观安装工程 3 10" xfId="29943"/>
    <cellStyle name="差_一期景观安装工程 3 2" xfId="33688"/>
    <cellStyle name="差_一期景观安装工程 3 3" xfId="33689"/>
    <cellStyle name="差_一期景观安装工程 3 4" xfId="33690"/>
    <cellStyle name="差_一期景观安装工程 3 5" xfId="33691"/>
    <cellStyle name="差_一期景观安装工程 3 6" xfId="33692"/>
    <cellStyle name="差_一期景观安装工程 3 7" xfId="33693"/>
    <cellStyle name="差_一期景观安装工程 3 8" xfId="33694"/>
    <cellStyle name="差_一期景观安装工程 3 9" xfId="33695"/>
    <cellStyle name="差_一期景观安装工程 4" xfId="33696"/>
    <cellStyle name="差_一期景观安装工程 5" xfId="33697"/>
    <cellStyle name="差_一期景观安装工程 6" xfId="33698"/>
    <cellStyle name="差_一期景观安装工程 7" xfId="33699"/>
    <cellStyle name="差_一期景观安装工程 8" xfId="33700"/>
    <cellStyle name="差_一期景观安装工程 9" xfId="33701"/>
    <cellStyle name="差_重庆公司战略土建总包工程招标清单20131206澄清后最终（安装）" xfId="33702"/>
    <cellStyle name="差_重庆公司战略土建总包工程招标清单20131206澄清后最终（安装） 2" xfId="33703"/>
    <cellStyle name="差_重庆公司战略土建总包工程招标清单20131206澄清后最终（安装） 3" xfId="33704"/>
    <cellStyle name="差_重庆公司战略土建总包工程招标清单最终版" xfId="33705"/>
    <cellStyle name="差_重庆公司战略土建总包工程招标清单最终版 2" xfId="33706"/>
    <cellStyle name="差_重庆公司战略土建总包工程招标清单最终版 3" xfId="33707"/>
    <cellStyle name="常规" xfId="0" builtinId="0"/>
    <cellStyle name="常规 10" xfId="33708"/>
    <cellStyle name="常规 10 10" xfId="33709"/>
    <cellStyle name="常规 10 2" xfId="33710"/>
    <cellStyle name="常规 10 3" xfId="33711"/>
    <cellStyle name="常规 10 3 2" xfId="33712"/>
    <cellStyle name="常规 10 4" xfId="33713"/>
    <cellStyle name="常规 10 5" xfId="33714"/>
    <cellStyle name="常规 10 6" xfId="33715"/>
    <cellStyle name="常规 10 6 2" xfId="33716"/>
    <cellStyle name="常规 10 6 3" xfId="33717"/>
    <cellStyle name="常规 10 6 3 2" xfId="33718"/>
    <cellStyle name="常规 10 7" xfId="33719"/>
    <cellStyle name="常规 10 8" xfId="33720"/>
    <cellStyle name="常规 10 9" xfId="33721"/>
    <cellStyle name="常规 10_泉州世茂蓝色海湾S2013-21地块清单6.3" xfId="33722"/>
    <cellStyle name="常规 100" xfId="33723"/>
    <cellStyle name="常规 100 2" xfId="33725"/>
    <cellStyle name="常规 101" xfId="33727"/>
    <cellStyle name="常规 102" xfId="33729"/>
    <cellStyle name="常规 103" xfId="33731"/>
    <cellStyle name="常规 104" xfId="33733"/>
    <cellStyle name="常规 105" xfId="33735"/>
    <cellStyle name="常规 106" xfId="33737"/>
    <cellStyle name="常规 107" xfId="33739"/>
    <cellStyle name="常规 108" xfId="33741"/>
    <cellStyle name="常规 109" xfId="33743"/>
    <cellStyle name="常规 11" xfId="33745"/>
    <cellStyle name="常规 11 10" xfId="33746"/>
    <cellStyle name="常规 11 2" xfId="33747"/>
    <cellStyle name="常规 11 3" xfId="33748"/>
    <cellStyle name="常规 11 4" xfId="33749"/>
    <cellStyle name="常规 11 5" xfId="33750"/>
    <cellStyle name="常规 11 6" xfId="33751"/>
    <cellStyle name="常规 11 7" xfId="33752"/>
    <cellStyle name="常规 11 8" xfId="33753"/>
    <cellStyle name="常规 11 9" xfId="23795"/>
    <cellStyle name="常规 110" xfId="33736"/>
    <cellStyle name="常规 111" xfId="33738"/>
    <cellStyle name="常规 112" xfId="33740"/>
    <cellStyle name="常规 113" xfId="33742"/>
    <cellStyle name="常规 114" xfId="33744"/>
    <cellStyle name="常规 115" xfId="33754"/>
    <cellStyle name="常规 116" xfId="33755"/>
    <cellStyle name="常规 117" xfId="33756"/>
    <cellStyle name="常规 118" xfId="33757"/>
    <cellStyle name="常规 119" xfId="33758"/>
    <cellStyle name="常规 12" xfId="33761"/>
    <cellStyle name="常规 12 2" xfId="33762"/>
    <cellStyle name="常规 12 2 3 2" xfId="33763"/>
    <cellStyle name="常规 12 2 4" xfId="33764"/>
    <cellStyle name="常规 12 3" xfId="33765"/>
    <cellStyle name="常规 12 4" xfId="33766"/>
    <cellStyle name="常规 12_A0段（地下室及7-10#楼）工程招标清单-表二" xfId="33767"/>
    <cellStyle name="常规 13" xfId="33768"/>
    <cellStyle name="常规 13 10" xfId="33769"/>
    <cellStyle name="常规 13 11" xfId="33770"/>
    <cellStyle name="常规 13 12" xfId="30630"/>
    <cellStyle name="常规 13 13" xfId="4034"/>
    <cellStyle name="常规 13 2" xfId="17270"/>
    <cellStyle name="常规 13 2 10" xfId="30071"/>
    <cellStyle name="常规 13 2 11" xfId="33771"/>
    <cellStyle name="常规 13 2 12" xfId="33772"/>
    <cellStyle name="常规 13 2 13" xfId="33773"/>
    <cellStyle name="常规 13 2 14" xfId="33774"/>
    <cellStyle name="常规 13 2 15" xfId="33775"/>
    <cellStyle name="常规 13 2 16" xfId="33777"/>
    <cellStyle name="常规 13 2 17" xfId="33779"/>
    <cellStyle name="常规 13 2 18" xfId="33781"/>
    <cellStyle name="常规 13 2 19" xfId="33782"/>
    <cellStyle name="常规 13 2 2" xfId="28084"/>
    <cellStyle name="常规 13 2 20" xfId="33776"/>
    <cellStyle name="常规 13 2 21" xfId="33778"/>
    <cellStyle name="常规 13 2 22" xfId="33780"/>
    <cellStyle name="常规 13 2 3" xfId="28088"/>
    <cellStyle name="常规 13 2 3 10" xfId="33783"/>
    <cellStyle name="常规 13 2 3 2" xfId="30079"/>
    <cellStyle name="常规 13 2 3 3" xfId="30081"/>
    <cellStyle name="常规 13 2 3 4" xfId="30083"/>
    <cellStyle name="常规 13 2 3 5" xfId="30085"/>
    <cellStyle name="常规 13 2 3 6" xfId="30087"/>
    <cellStyle name="常规 13 2 3 7" xfId="30089"/>
    <cellStyle name="常规 13 2 3 8" xfId="30091"/>
    <cellStyle name="常规 13 2 3 9" xfId="33784"/>
    <cellStyle name="常规 13 2 4" xfId="28092"/>
    <cellStyle name="常规 13 2 5" xfId="28096"/>
    <cellStyle name="常规 13 2 6" xfId="28100"/>
    <cellStyle name="常规 13 2 7" xfId="28104"/>
    <cellStyle name="常规 13 2 8" xfId="30093"/>
    <cellStyle name="常规 13 2 9" xfId="30095"/>
    <cellStyle name="常规 13 3" xfId="6940"/>
    <cellStyle name="常规 13 4" xfId="5948"/>
    <cellStyle name="常规 13 5" xfId="109"/>
    <cellStyle name="常规 13 6" xfId="4651"/>
    <cellStyle name="常规 13 7" xfId="4658"/>
    <cellStyle name="常规 13 8" xfId="5958"/>
    <cellStyle name="常规 13 9" xfId="5965"/>
    <cellStyle name="常规 13_根据C级战略清单价格编制五龙山模拟清单" xfId="33785"/>
    <cellStyle name="常规 14" xfId="33786"/>
    <cellStyle name="常规 14 10" xfId="33787"/>
    <cellStyle name="常规 14 11" xfId="33788"/>
    <cellStyle name="常规 14 11 2" xfId="33789"/>
    <cellStyle name="常规 14 2" xfId="17284"/>
    <cellStyle name="常规 14 3" xfId="17289"/>
    <cellStyle name="常规 14 4" xfId="17294"/>
    <cellStyle name="常规 14 5" xfId="17299"/>
    <cellStyle name="常规 14 6" xfId="17304"/>
    <cellStyle name="常规 14 7" xfId="30937"/>
    <cellStyle name="常规 14 8" xfId="30977"/>
    <cellStyle name="常规 14 9" xfId="30989"/>
    <cellStyle name="常规 15" xfId="33790"/>
    <cellStyle name="常规 15 2" xfId="12462"/>
    <cellStyle name="常规 15 3" xfId="12464"/>
    <cellStyle name="常规 15 4" xfId="12466"/>
    <cellStyle name="常规 153" xfId="33792"/>
    <cellStyle name="常规 16" xfId="33794"/>
    <cellStyle name="常规 16 2" xfId="6085"/>
    <cellStyle name="常规 16 3" xfId="6093"/>
    <cellStyle name="常规 16 4" xfId="6097"/>
    <cellStyle name="常规 16 5" xfId="6101"/>
    <cellStyle name="常规 162" xfId="33796"/>
    <cellStyle name="常规 17" xfId="33797"/>
    <cellStyle name="常规 17 10" xfId="33799"/>
    <cellStyle name="常规 17 11" xfId="33800"/>
    <cellStyle name="常规 17 12" xfId="33801"/>
    <cellStyle name="常规 17 13" xfId="33802"/>
    <cellStyle name="常规 17 14" xfId="33803"/>
    <cellStyle name="常规 17 15" xfId="33804"/>
    <cellStyle name="常规 17 16" xfId="33806"/>
    <cellStyle name="常规 17 17" xfId="33808"/>
    <cellStyle name="常规 17 18" xfId="33810"/>
    <cellStyle name="常规 17 19" xfId="33812"/>
    <cellStyle name="常规 17 2" xfId="12609"/>
    <cellStyle name="常规 17 2 10" xfId="33814"/>
    <cellStyle name="常规 17 2 10 2" xfId="33815"/>
    <cellStyle name="常规 17 2 10 3" xfId="33816"/>
    <cellStyle name="常规 17 2 11" xfId="33817"/>
    <cellStyle name="常规 17 2 11 2" xfId="33818"/>
    <cellStyle name="常规 17 2 11 3" xfId="33819"/>
    <cellStyle name="常规 17 2 12" xfId="33820"/>
    <cellStyle name="常规 17 2 12 2" xfId="33821"/>
    <cellStyle name="常规 17 2 12 3" xfId="33822"/>
    <cellStyle name="常规 17 2 13" xfId="33823"/>
    <cellStyle name="常规 17 2 13 2" xfId="33824"/>
    <cellStyle name="常规 17 2 13 3" xfId="33825"/>
    <cellStyle name="常规 17 2 14" xfId="33826"/>
    <cellStyle name="常规 17 2 14 2" xfId="33827"/>
    <cellStyle name="常规 17 2 14 3" xfId="33828"/>
    <cellStyle name="常规 17 2 15" xfId="33829"/>
    <cellStyle name="常规 17 2 15 2" xfId="33831"/>
    <cellStyle name="常规 17 2 15 3" xfId="33833"/>
    <cellStyle name="常规 17 2 16" xfId="514"/>
    <cellStyle name="常规 17 2 16 2" xfId="33835"/>
    <cellStyle name="常规 17 2 16 3" xfId="33837"/>
    <cellStyle name="常规 17 2 17" xfId="10"/>
    <cellStyle name="常规 17 2 17 2" xfId="33839"/>
    <cellStyle name="常规 17 2 17 3" xfId="33841"/>
    <cellStyle name="常规 17 2 18" xfId="33843"/>
    <cellStyle name="常规 17 2 18 2" xfId="33845"/>
    <cellStyle name="常规 17 2 18 3" xfId="33847"/>
    <cellStyle name="常规 17 2 19" xfId="33849"/>
    <cellStyle name="常规 17 2 19 2" xfId="33851"/>
    <cellStyle name="常规 17 2 19 3" xfId="33853"/>
    <cellStyle name="常规 17 2 2" xfId="33855"/>
    <cellStyle name="常规 17 2 2 2" xfId="33856"/>
    <cellStyle name="常规 17 2 2 3" xfId="33857"/>
    <cellStyle name="常规 17 2 20" xfId="33830"/>
    <cellStyle name="常规 17 2 20 2" xfId="33832"/>
    <cellStyle name="常规 17 2 20 3" xfId="33834"/>
    <cellStyle name="常规 17 2 21" xfId="515"/>
    <cellStyle name="常规 17 2 21 2" xfId="33836"/>
    <cellStyle name="常规 17 2 21 3" xfId="33838"/>
    <cellStyle name="常规 17 2 22" xfId="11"/>
    <cellStyle name="常规 17 2 22 2" xfId="33840"/>
    <cellStyle name="常规 17 2 22 3" xfId="33842"/>
    <cellStyle name="常规 17 2 23" xfId="33844"/>
    <cellStyle name="常规 17 2 23 2" xfId="33846"/>
    <cellStyle name="常规 17 2 23 3" xfId="33848"/>
    <cellStyle name="常规 17 2 24" xfId="33850"/>
    <cellStyle name="常规 17 2 24 2" xfId="33852"/>
    <cellStyle name="常规 17 2 24 3" xfId="33854"/>
    <cellStyle name="常规 17 2 25" xfId="33858"/>
    <cellStyle name="常规 17 2 25 2" xfId="33860"/>
    <cellStyle name="常规 17 2 25 3" xfId="33862"/>
    <cellStyle name="常规 17 2 26" xfId="33864"/>
    <cellStyle name="常规 17 2 26 2" xfId="33866"/>
    <cellStyle name="常规 17 2 26 3" xfId="33868"/>
    <cellStyle name="常规 17 2 27" xfId="33870"/>
    <cellStyle name="常规 17 2 27 2" xfId="33872"/>
    <cellStyle name="常规 17 2 27 3" xfId="33874"/>
    <cellStyle name="常规 17 2 28" xfId="33876"/>
    <cellStyle name="常规 17 2 28 2" xfId="33878"/>
    <cellStyle name="常规 17 2 28 3" xfId="33880"/>
    <cellStyle name="常规 17 2 29" xfId="33882"/>
    <cellStyle name="常规 17 2 29 2" xfId="33884"/>
    <cellStyle name="常规 17 2 29 3" xfId="33886"/>
    <cellStyle name="常规 17 2 3" xfId="33888"/>
    <cellStyle name="常规 17 2 3 2" xfId="33889"/>
    <cellStyle name="常规 17 2 3 3" xfId="33890"/>
    <cellStyle name="常规 17 2 30" xfId="33859"/>
    <cellStyle name="常规 17 2 30 2" xfId="33861"/>
    <cellStyle name="常规 17 2 30 3" xfId="33863"/>
    <cellStyle name="常规 17 2 31" xfId="33865"/>
    <cellStyle name="常规 17 2 31 2" xfId="33867"/>
    <cellStyle name="常规 17 2 31 3" xfId="33869"/>
    <cellStyle name="常规 17 2 32" xfId="33871"/>
    <cellStyle name="常规 17 2 32 2" xfId="33873"/>
    <cellStyle name="常规 17 2 32 3" xfId="33875"/>
    <cellStyle name="常规 17 2 33" xfId="33877"/>
    <cellStyle name="常规 17 2 33 2" xfId="33879"/>
    <cellStyle name="常规 17 2 33 3" xfId="33881"/>
    <cellStyle name="常规 17 2 34" xfId="33883"/>
    <cellStyle name="常规 17 2 34 2" xfId="33885"/>
    <cellStyle name="常规 17 2 34 3" xfId="33887"/>
    <cellStyle name="常规 17 2 35" xfId="33891"/>
    <cellStyle name="常规 17 2 35 2" xfId="2584"/>
    <cellStyle name="常规 17 2 35 3" xfId="4094"/>
    <cellStyle name="常规 17 2 36" xfId="33892"/>
    <cellStyle name="常规 17 2 36 2" xfId="2703"/>
    <cellStyle name="常规 17 2 36 3" xfId="4144"/>
    <cellStyle name="常规 17 2 4" xfId="33894"/>
    <cellStyle name="常规 17 2 4 2" xfId="33895"/>
    <cellStyle name="常规 17 2 4 3" xfId="33896"/>
    <cellStyle name="常规 17 2 5" xfId="33897"/>
    <cellStyle name="常规 17 2 5 2" xfId="33898"/>
    <cellStyle name="常规 17 2 5 3" xfId="33899"/>
    <cellStyle name="常规 17 2 6" xfId="33900"/>
    <cellStyle name="常规 17 2 6 2" xfId="33901"/>
    <cellStyle name="常规 17 2 6 3" xfId="33902"/>
    <cellStyle name="常规 17 2 7" xfId="33903"/>
    <cellStyle name="常规 17 2 7 2" xfId="33904"/>
    <cellStyle name="常规 17 2 7 3" xfId="33905"/>
    <cellStyle name="常规 17 2 8" xfId="33906"/>
    <cellStyle name="常规 17 2 8 2" xfId="33907"/>
    <cellStyle name="常规 17 2 8 3" xfId="33908"/>
    <cellStyle name="常规 17 2 9" xfId="33909"/>
    <cellStyle name="常规 17 2 9 2" xfId="33910"/>
    <cellStyle name="常规 17 2 9 3" xfId="33911"/>
    <cellStyle name="常规 17 2_土建清单 (高层)" xfId="33912"/>
    <cellStyle name="常规 17 20" xfId="33805"/>
    <cellStyle name="常规 17 21" xfId="33807"/>
    <cellStyle name="常规 17 22" xfId="33809"/>
    <cellStyle name="常规 17 22 2" xfId="33913"/>
    <cellStyle name="常规 17 22 3" xfId="33916"/>
    <cellStyle name="常规 17 22 4" xfId="33919"/>
    <cellStyle name="常规 17 22 5" xfId="33922"/>
    <cellStyle name="常规 17 22 6" xfId="33925"/>
    <cellStyle name="常规 17 22 7" xfId="33928"/>
    <cellStyle name="常规 17 22 8" xfId="33932"/>
    <cellStyle name="常规 17 22 9" xfId="33936"/>
    <cellStyle name="常规 17 23" xfId="33811"/>
    <cellStyle name="常规 17 23 2" xfId="33937"/>
    <cellStyle name="常规 17 23 3" xfId="33940"/>
    <cellStyle name="常规 17 23 4" xfId="33943"/>
    <cellStyle name="常规 17 23 5" xfId="33946"/>
    <cellStyle name="常规 17 23 6" xfId="33949"/>
    <cellStyle name="常规 17 23 7" xfId="33952"/>
    <cellStyle name="常规 17 23 8" xfId="33956"/>
    <cellStyle name="常规 17 23 9" xfId="33960"/>
    <cellStyle name="常规 17 24" xfId="33813"/>
    <cellStyle name="常规 17 24 2" xfId="33961"/>
    <cellStyle name="常规 17 24 3" xfId="33964"/>
    <cellStyle name="常规 17 24 4" xfId="33967"/>
    <cellStyle name="常规 17 24 5" xfId="33970"/>
    <cellStyle name="常规 17 24 6" xfId="33973"/>
    <cellStyle name="常规 17 24 7" xfId="33976"/>
    <cellStyle name="常规 17 24 8" xfId="33980"/>
    <cellStyle name="常规 17 24 9" xfId="33984"/>
    <cellStyle name="常规 17 25" xfId="33985"/>
    <cellStyle name="常规 17 25 2" xfId="33987"/>
    <cellStyle name="常规 17 25 3" xfId="33990"/>
    <cellStyle name="常规 17 25 4" xfId="33993"/>
    <cellStyle name="常规 17 25 5" xfId="33996"/>
    <cellStyle name="常规 17 25 6" xfId="33999"/>
    <cellStyle name="常规 17 25 7" xfId="34002"/>
    <cellStyle name="常规 17 25 8" xfId="34006"/>
    <cellStyle name="常规 17 25 9" xfId="34010"/>
    <cellStyle name="常规 17 26" xfId="34012"/>
    <cellStyle name="常规 17 26 2" xfId="5679"/>
    <cellStyle name="常规 17 26 3" xfId="34014"/>
    <cellStyle name="常规 17 26 4" xfId="34017"/>
    <cellStyle name="常规 17 26 5" xfId="34020"/>
    <cellStyle name="常规 17 26 6" xfId="34023"/>
    <cellStyle name="常规 17 26 7" xfId="34026"/>
    <cellStyle name="常规 17 26 8" xfId="34029"/>
    <cellStyle name="常规 17 26 9" xfId="34032"/>
    <cellStyle name="常规 17 27" xfId="34033"/>
    <cellStyle name="常规 17 27 2" xfId="34035"/>
    <cellStyle name="常规 17 27 3" xfId="34038"/>
    <cellStyle name="常规 17 27 4" xfId="34041"/>
    <cellStyle name="常规 17 27 5" xfId="34044"/>
    <cellStyle name="常规 17 27 6" xfId="34047"/>
    <cellStyle name="常规 17 27 7" xfId="34050"/>
    <cellStyle name="常规 17 27 8" xfId="34053"/>
    <cellStyle name="常规 17 27 9" xfId="34056"/>
    <cellStyle name="常规 17 28" xfId="34057"/>
    <cellStyle name="常规 17 29" xfId="34059"/>
    <cellStyle name="常规 17 3" xfId="12612"/>
    <cellStyle name="常规 17 3 10" xfId="34061"/>
    <cellStyle name="常规 17 3 10 2" xfId="34062"/>
    <cellStyle name="常规 17 3 10 3" xfId="34063"/>
    <cellStyle name="常规 17 3 11" xfId="34064"/>
    <cellStyle name="常规 17 3 11 2" xfId="34065"/>
    <cellStyle name="常规 17 3 11 3" xfId="34066"/>
    <cellStyle name="常规 17 3 12" xfId="34067"/>
    <cellStyle name="常规 17 3 12 2" xfId="34068"/>
    <cellStyle name="常规 17 3 12 3" xfId="34069"/>
    <cellStyle name="常规 17 3 13" xfId="34070"/>
    <cellStyle name="常规 17 3 13 2" xfId="34071"/>
    <cellStyle name="常规 17 3 13 3" xfId="34072"/>
    <cellStyle name="常规 17 3 14" xfId="34073"/>
    <cellStyle name="常规 17 3 14 2" xfId="34074"/>
    <cellStyle name="常规 17 3 14 3" xfId="34075"/>
    <cellStyle name="常规 17 3 15" xfId="34076"/>
    <cellStyle name="常规 17 3 15 2" xfId="34078"/>
    <cellStyle name="常规 17 3 15 3" xfId="34080"/>
    <cellStyle name="常规 17 3 16" xfId="34082"/>
    <cellStyle name="常规 17 3 16 2" xfId="34084"/>
    <cellStyle name="常规 17 3 16 3" xfId="34086"/>
    <cellStyle name="常规 17 3 17" xfId="34088"/>
    <cellStyle name="常规 17 3 17 2" xfId="34090"/>
    <cellStyle name="常规 17 3 17 3" xfId="34092"/>
    <cellStyle name="常规 17 3 18" xfId="34094"/>
    <cellStyle name="常规 17 3 18 2" xfId="34096"/>
    <cellStyle name="常规 17 3 18 3" xfId="34098"/>
    <cellStyle name="常规 17 3 19" xfId="34100"/>
    <cellStyle name="常规 17 3 19 2" xfId="34102"/>
    <cellStyle name="常规 17 3 19 3" xfId="34104"/>
    <cellStyle name="常规 17 3 2" xfId="34106"/>
    <cellStyle name="常规 17 3 2 2" xfId="34107"/>
    <cellStyle name="常规 17 3 2 2 2" xfId="34108"/>
    <cellStyle name="常规 17 3 2 2 3" xfId="34111"/>
    <cellStyle name="常规 17 3 2 3" xfId="34114"/>
    <cellStyle name="常规 17 3 2 3 2" xfId="34115"/>
    <cellStyle name="常规 17 3 2 3 3" xfId="34118"/>
    <cellStyle name="常规 17 3 2 4" xfId="34121"/>
    <cellStyle name="常规 17 3 2 4 2" xfId="33929"/>
    <cellStyle name="常规 17 3 2 4 3" xfId="33933"/>
    <cellStyle name="常规 17 3 2 5" xfId="34122"/>
    <cellStyle name="常规 17 3 2 5 2" xfId="33953"/>
    <cellStyle name="常规 17 3 2 5 3" xfId="33957"/>
    <cellStyle name="常规 17 3 2 6" xfId="34124"/>
    <cellStyle name="常规 17 3 2 6 2" xfId="33977"/>
    <cellStyle name="常规 17 3 2 6 3" xfId="33981"/>
    <cellStyle name="常规 17 3 2 7" xfId="34125"/>
    <cellStyle name="常规 17 3 2 7 2" xfId="34003"/>
    <cellStyle name="常规 17 3 2 7 3" xfId="34007"/>
    <cellStyle name="常规 17 3 20" xfId="34077"/>
    <cellStyle name="常规 17 3 20 2" xfId="34079"/>
    <cellStyle name="常规 17 3 20 3" xfId="34081"/>
    <cellStyle name="常规 17 3 21" xfId="34083"/>
    <cellStyle name="常规 17 3 21 2" xfId="34085"/>
    <cellStyle name="常规 17 3 21 3" xfId="34087"/>
    <cellStyle name="常规 17 3 22" xfId="34089"/>
    <cellStyle name="常规 17 3 22 2" xfId="34091"/>
    <cellStyle name="常规 17 3 22 3" xfId="34093"/>
    <cellStyle name="常规 17 3 23" xfId="34095"/>
    <cellStyle name="常规 17 3 23 2" xfId="34097"/>
    <cellStyle name="常规 17 3 23 3" xfId="34099"/>
    <cellStyle name="常规 17 3 24" xfId="34101"/>
    <cellStyle name="常规 17 3 24 2" xfId="34103"/>
    <cellStyle name="常规 17 3 24 3" xfId="34105"/>
    <cellStyle name="常规 17 3 25" xfId="34126"/>
    <cellStyle name="常规 17 3 25 2" xfId="34128"/>
    <cellStyle name="常规 17 3 25 3" xfId="34130"/>
    <cellStyle name="常规 17 3 26" xfId="34132"/>
    <cellStyle name="常规 17 3 26 2" xfId="34134"/>
    <cellStyle name="常规 17 3 26 3" xfId="34136"/>
    <cellStyle name="常规 17 3 27" xfId="34138"/>
    <cellStyle name="常规 17 3 27 2" xfId="34140"/>
    <cellStyle name="常规 17 3 27 3" xfId="34142"/>
    <cellStyle name="常规 17 3 28" xfId="34144"/>
    <cellStyle name="常规 17 3 28 2" xfId="34146"/>
    <cellStyle name="常规 17 3 28 3" xfId="34148"/>
    <cellStyle name="常规 17 3 29" xfId="34150"/>
    <cellStyle name="常规 17 3 29 2" xfId="34152"/>
    <cellStyle name="常规 17 3 29 3" xfId="34154"/>
    <cellStyle name="常规 17 3 3" xfId="34156"/>
    <cellStyle name="常规 17 3 3 2" xfId="34157"/>
    <cellStyle name="常规 17 3 3 2 2" xfId="34159"/>
    <cellStyle name="常规 17 3 3 2 3" xfId="34160"/>
    <cellStyle name="常规 17 3 3 3" xfId="34161"/>
    <cellStyle name="常规 17 3 3 3 2" xfId="34163"/>
    <cellStyle name="常规 17 3 3 3 3" xfId="34164"/>
    <cellStyle name="常规 17 3 3 4" xfId="34165"/>
    <cellStyle name="常规 17 3 3 4 2" xfId="34167"/>
    <cellStyle name="常规 17 3 3 4 3" xfId="34168"/>
    <cellStyle name="常规 17 3 3 5" xfId="34169"/>
    <cellStyle name="常规 17 3 3 5 2" xfId="34171"/>
    <cellStyle name="常规 17 3 3 5 3" xfId="34172"/>
    <cellStyle name="常规 17 3 3 6" xfId="34173"/>
    <cellStyle name="常规 17 3 3 6 2" xfId="34175"/>
    <cellStyle name="常规 17 3 3 6 3" xfId="34176"/>
    <cellStyle name="常规 17 3 3 7" xfId="34177"/>
    <cellStyle name="常规 17 3 3 7 2" xfId="34179"/>
    <cellStyle name="常规 17 3 3 7 3" xfId="34180"/>
    <cellStyle name="常规 17 3 30" xfId="34127"/>
    <cellStyle name="常规 17 3 30 2" xfId="34129"/>
    <cellStyle name="常规 17 3 30 3" xfId="34131"/>
    <cellStyle name="常规 17 3 31" xfId="34133"/>
    <cellStyle name="常规 17 3 31 2" xfId="34135"/>
    <cellStyle name="常规 17 3 31 3" xfId="34137"/>
    <cellStyle name="常规 17 3 32" xfId="34139"/>
    <cellStyle name="常规 17 3 32 2" xfId="34141"/>
    <cellStyle name="常规 17 3 32 3" xfId="34143"/>
    <cellStyle name="常规 17 3 33" xfId="34145"/>
    <cellStyle name="常规 17 3 33 2" xfId="34147"/>
    <cellStyle name="常规 17 3 33 3" xfId="34149"/>
    <cellStyle name="常规 17 3 34" xfId="34151"/>
    <cellStyle name="常规 17 3 34 2" xfId="34153"/>
    <cellStyle name="常规 17 3 34 3" xfId="34155"/>
    <cellStyle name="常规 17 3 35" xfId="34181"/>
    <cellStyle name="常规 17 3 35 2" xfId="34183"/>
    <cellStyle name="常规 17 3 35 3" xfId="19771"/>
    <cellStyle name="常规 17 3 36" xfId="34184"/>
    <cellStyle name="常规 17 3 36 2" xfId="34188"/>
    <cellStyle name="常规 17 3 36 3" xfId="19790"/>
    <cellStyle name="常规 17 3 37" xfId="34191"/>
    <cellStyle name="常规 17 3 38" xfId="34195"/>
    <cellStyle name="常规 17 3 39" xfId="34199"/>
    <cellStyle name="常规 17 3 4" xfId="34203"/>
    <cellStyle name="常规 17 3 4 2" xfId="34204"/>
    <cellStyle name="常规 17 3 4 2 2" xfId="34205"/>
    <cellStyle name="常规 17 3 4 2 3" xfId="34206"/>
    <cellStyle name="常规 17 3 4 3" xfId="34207"/>
    <cellStyle name="常规 17 3 4 3 2" xfId="34208"/>
    <cellStyle name="常规 17 3 4 3 3" xfId="34209"/>
    <cellStyle name="常规 17 3 4 4" xfId="34210"/>
    <cellStyle name="常规 17 3 4 4 2" xfId="34211"/>
    <cellStyle name="常规 17 3 4 4 3" xfId="34212"/>
    <cellStyle name="常规 17 3 4 5" xfId="34213"/>
    <cellStyle name="常规 17 3 4 5 2" xfId="34214"/>
    <cellStyle name="常规 17 3 4 5 3" xfId="34215"/>
    <cellStyle name="常规 17 3 4 6" xfId="34216"/>
    <cellStyle name="常规 17 3 4 6 2" xfId="34217"/>
    <cellStyle name="常规 17 3 4 6 3" xfId="34218"/>
    <cellStyle name="常规 17 3 4 7" xfId="34219"/>
    <cellStyle name="常规 17 3 4 7 2" xfId="34220"/>
    <cellStyle name="常规 17 3 4 7 3" xfId="34221"/>
    <cellStyle name="常规 17 3 40" xfId="34182"/>
    <cellStyle name="常规 17 3 41" xfId="34185"/>
    <cellStyle name="常规 17 3 42" xfId="34192"/>
    <cellStyle name="常规 17 3 43" xfId="34196"/>
    <cellStyle name="常规 17 3 44" xfId="34200"/>
    <cellStyle name="常规 17 3 45" xfId="34222"/>
    <cellStyle name="常规 17 3 46" xfId="34225"/>
    <cellStyle name="常规 17 3 5" xfId="34228"/>
    <cellStyle name="常规 17 3 5 2" xfId="34229"/>
    <cellStyle name="常规 17 3 5 2 2" xfId="34230"/>
    <cellStyle name="常规 17 3 5 2 3" xfId="34231"/>
    <cellStyle name="常规 17 3 5 3" xfId="34232"/>
    <cellStyle name="常规 17 3 5 3 2" xfId="34233"/>
    <cellStyle name="常规 17 3 5 3 3" xfId="34234"/>
    <cellStyle name="常规 17 3 5 4" xfId="34235"/>
    <cellStyle name="常规 17 3 5 4 2" xfId="34236"/>
    <cellStyle name="常规 17 3 5 4 3" xfId="34237"/>
    <cellStyle name="常规 17 3 5 5" xfId="34238"/>
    <cellStyle name="常规 17 3 5 5 2" xfId="34239"/>
    <cellStyle name="常规 17 3 5 5 3" xfId="34240"/>
    <cellStyle name="常规 17 3 5 6" xfId="34241"/>
    <cellStyle name="常规 17 3 5 6 2" xfId="34242"/>
    <cellStyle name="常规 17 3 5 6 3" xfId="34243"/>
    <cellStyle name="常规 17 3 5 7" xfId="34244"/>
    <cellStyle name="常规 17 3 5 7 2" xfId="34245"/>
    <cellStyle name="常规 17 3 5 7 3" xfId="34246"/>
    <cellStyle name="常规 17 3 6" xfId="34247"/>
    <cellStyle name="常规 17 3 6 2" xfId="34248"/>
    <cellStyle name="常规 17 3 6 2 2" xfId="34249"/>
    <cellStyle name="常规 17 3 6 2 3" xfId="20"/>
    <cellStyle name="常规 17 3 6 3" xfId="34250"/>
    <cellStyle name="常规 17 3 6 3 2" xfId="34251"/>
    <cellStyle name="常规 17 3 6 3 3" xfId="34252"/>
    <cellStyle name="常规 17 3 6 4" xfId="34253"/>
    <cellStyle name="常规 17 3 6 4 2" xfId="34254"/>
    <cellStyle name="常规 17 3 6 4 3" xfId="34255"/>
    <cellStyle name="常规 17 3 6 5" xfId="34256"/>
    <cellStyle name="常规 17 3 6 5 2" xfId="34257"/>
    <cellStyle name="常规 17 3 6 5 3" xfId="34258"/>
    <cellStyle name="常规 17 3 6 6" xfId="34259"/>
    <cellStyle name="常规 17 3 6 6 2" xfId="34260"/>
    <cellStyle name="常规 17 3 6 6 3" xfId="34261"/>
    <cellStyle name="常规 17 3 6 7" xfId="34262"/>
    <cellStyle name="常规 17 3 6 7 2" xfId="34263"/>
    <cellStyle name="常规 17 3 6 7 3" xfId="34264"/>
    <cellStyle name="常规 17 3 7" xfId="34265"/>
    <cellStyle name="常规 17 3 7 2" xfId="34266"/>
    <cellStyle name="常规 17 3 7 2 2" xfId="34267"/>
    <cellStyle name="常规 17 3 7 2 3" xfId="34268"/>
    <cellStyle name="常规 17 3 7 3" xfId="34269"/>
    <cellStyle name="常规 17 3 7 3 2" xfId="34270"/>
    <cellStyle name="常规 17 3 7 3 3" xfId="34271"/>
    <cellStyle name="常规 17 3 7 4" xfId="34272"/>
    <cellStyle name="常规 17 3 7 4 2" xfId="34273"/>
    <cellStyle name="常规 17 3 7 4 3" xfId="34274"/>
    <cellStyle name="常规 17 3 7 5" xfId="34275"/>
    <cellStyle name="常规 17 3 7 5 2" xfId="34278"/>
    <cellStyle name="常规 17 3 7 5 3" xfId="34279"/>
    <cellStyle name="常规 17 3 7 6" xfId="34280"/>
    <cellStyle name="常规 17 3 7 6 2" xfId="34281"/>
    <cellStyle name="常规 17 3 7 6 3" xfId="34282"/>
    <cellStyle name="常规 17 3 7 7" xfId="34283"/>
    <cellStyle name="常规 17 3 7 7 2" xfId="34284"/>
    <cellStyle name="常规 17 3 7 7 3" xfId="34285"/>
    <cellStyle name="常规 17 3 8" xfId="34286"/>
    <cellStyle name="常规 17 3 8 2" xfId="34287"/>
    <cellStyle name="常规 17 3 8 2 2" xfId="34288"/>
    <cellStyle name="常规 17 3 8 2 3" xfId="34289"/>
    <cellStyle name="常规 17 3 8 3" xfId="34290"/>
    <cellStyle name="常规 17 3 8 3 2" xfId="34291"/>
    <cellStyle name="常规 17 3 8 3 3" xfId="34292"/>
    <cellStyle name="常规 17 3 8 4" xfId="34293"/>
    <cellStyle name="常规 17 3 8 4 2" xfId="34294"/>
    <cellStyle name="常规 17 3 8 4 3" xfId="34295"/>
    <cellStyle name="常规 17 3 8 5" xfId="34296"/>
    <cellStyle name="常规 17 3 8 5 2" xfId="34297"/>
    <cellStyle name="常规 17 3 8 5 3" xfId="34298"/>
    <cellStyle name="常规 17 3 8 6" xfId="34299"/>
    <cellStyle name="常规 17 3 8 6 2" xfId="34300"/>
    <cellStyle name="常规 17 3 8 6 3" xfId="34301"/>
    <cellStyle name="常规 17 3 8 7" xfId="34302"/>
    <cellStyle name="常规 17 3 8 7 2" xfId="34303"/>
    <cellStyle name="常规 17 3 8 7 3" xfId="34304"/>
    <cellStyle name="常规 17 3 9" xfId="34305"/>
    <cellStyle name="常规 17 3 9 2" xfId="34306"/>
    <cellStyle name="常规 17 3 9 3" xfId="34307"/>
    <cellStyle name="常规 17 3_土建清单 (高层)" xfId="9389"/>
    <cellStyle name="常规 17 30" xfId="33986"/>
    <cellStyle name="常规 17 31" xfId="34013"/>
    <cellStyle name="常规 17 32" xfId="34034"/>
    <cellStyle name="常规 17 33" xfId="34058"/>
    <cellStyle name="常规 17 34" xfId="34060"/>
    <cellStyle name="常规 17 35" xfId="34308"/>
    <cellStyle name="常规 17 36" xfId="34310"/>
    <cellStyle name="常规 17 37" xfId="34312"/>
    <cellStyle name="常规 17 38" xfId="34315"/>
    <cellStyle name="常规 17 39" xfId="34317"/>
    <cellStyle name="常规 17 4" xfId="12615"/>
    <cellStyle name="常规 17 4 10" xfId="34319"/>
    <cellStyle name="常规 17 4 10 2" xfId="34320"/>
    <cellStyle name="常规 17 4 10 3" xfId="34321"/>
    <cellStyle name="常规 17 4 11" xfId="34322"/>
    <cellStyle name="常规 17 4 11 2" xfId="34323"/>
    <cellStyle name="常规 17 4 11 3" xfId="34324"/>
    <cellStyle name="常规 17 4 12" xfId="34325"/>
    <cellStyle name="常规 17 4 12 2" xfId="34326"/>
    <cellStyle name="常规 17 4 12 3" xfId="34327"/>
    <cellStyle name="常规 17 4 13" xfId="1"/>
    <cellStyle name="常规 17 4 13 2" xfId="34328"/>
    <cellStyle name="常规 17 4 13 3" xfId="34330"/>
    <cellStyle name="常规 17 4 14" xfId="34332"/>
    <cellStyle name="常规 17 4 14 2" xfId="34333"/>
    <cellStyle name="常规 17 4 14 3" xfId="34334"/>
    <cellStyle name="常规 17 4 15" xfId="34335"/>
    <cellStyle name="常规 17 4 15 2" xfId="34337"/>
    <cellStyle name="常规 17 4 15 3" xfId="34339"/>
    <cellStyle name="常规 17 4 16" xfId="34341"/>
    <cellStyle name="常规 17 4 16 2" xfId="34343"/>
    <cellStyle name="常规 17 4 16 3" xfId="34345"/>
    <cellStyle name="常规 17 4 17" xfId="34347"/>
    <cellStyle name="常规 17 4 17 2" xfId="34349"/>
    <cellStyle name="常规 17 4 17 3" xfId="34351"/>
    <cellStyle name="常规 17 4 18" xfId="34353"/>
    <cellStyle name="常规 17 4 18 2" xfId="34355"/>
    <cellStyle name="常规 17 4 18 3" xfId="34357"/>
    <cellStyle name="常规 17 4 19" xfId="34359"/>
    <cellStyle name="常规 17 4 19 2" xfId="34361"/>
    <cellStyle name="常规 17 4 19 3" xfId="34363"/>
    <cellStyle name="常规 17 4 2" xfId="34365"/>
    <cellStyle name="常规 17 4 2 2" xfId="34366"/>
    <cellStyle name="常规 17 4 2 3" xfId="34367"/>
    <cellStyle name="常规 17 4 20" xfId="34336"/>
    <cellStyle name="常规 17 4 20 2" xfId="34338"/>
    <cellStyle name="常规 17 4 20 3" xfId="34340"/>
    <cellStyle name="常规 17 4 21" xfId="34342"/>
    <cellStyle name="常规 17 4 21 2" xfId="34344"/>
    <cellStyle name="常规 17 4 21 3" xfId="34346"/>
    <cellStyle name="常规 17 4 22" xfId="34348"/>
    <cellStyle name="常规 17 4 22 2" xfId="34350"/>
    <cellStyle name="常规 17 4 22 3" xfId="34352"/>
    <cellStyle name="常规 17 4 23" xfId="34354"/>
    <cellStyle name="常规 17 4 23 2" xfId="34356"/>
    <cellStyle name="常规 17 4 23 3" xfId="34358"/>
    <cellStyle name="常规 17 4 24" xfId="34360"/>
    <cellStyle name="常规 17 4 24 2" xfId="34362"/>
    <cellStyle name="常规 17 4 24 3" xfId="34364"/>
    <cellStyle name="常规 17 4 25" xfId="34368"/>
    <cellStyle name="常规 17 4 25 2" xfId="34370"/>
    <cellStyle name="常规 17 4 25 3" xfId="34372"/>
    <cellStyle name="常规 17 4 26" xfId="34374"/>
    <cellStyle name="常规 17 4 26 2" xfId="34376"/>
    <cellStyle name="常规 17 4 26 3" xfId="34378"/>
    <cellStyle name="常规 17 4 27" xfId="34380"/>
    <cellStyle name="常规 17 4 27 2" xfId="34382"/>
    <cellStyle name="常规 17 4 27 3" xfId="34384"/>
    <cellStyle name="常规 17 4 28" xfId="34386"/>
    <cellStyle name="常规 17 4 28 2" xfId="34388"/>
    <cellStyle name="常规 17 4 28 3" xfId="34390"/>
    <cellStyle name="常规 17 4 29" xfId="34392"/>
    <cellStyle name="常规 17 4 29 2" xfId="34394"/>
    <cellStyle name="常规 17 4 29 3" xfId="34396"/>
    <cellStyle name="常规 17 4 3" xfId="34398"/>
    <cellStyle name="常规 17 4 3 2" xfId="34399"/>
    <cellStyle name="常规 17 4 3 3" xfId="34400"/>
    <cellStyle name="常规 17 4 30" xfId="34369"/>
    <cellStyle name="常规 17 4 30 2" xfId="34371"/>
    <cellStyle name="常规 17 4 30 3" xfId="34373"/>
    <cellStyle name="常规 17 4 31" xfId="34375"/>
    <cellStyle name="常规 17 4 31 2" xfId="34377"/>
    <cellStyle name="常规 17 4 31 3" xfId="34379"/>
    <cellStyle name="常规 17 4 32" xfId="34381"/>
    <cellStyle name="常规 17 4 32 2" xfId="34383"/>
    <cellStyle name="常规 17 4 32 3" xfId="34385"/>
    <cellStyle name="常规 17 4 33" xfId="34387"/>
    <cellStyle name="常规 17 4 33 2" xfId="34389"/>
    <cellStyle name="常规 17 4 33 3" xfId="34391"/>
    <cellStyle name="常规 17 4 34" xfId="34393"/>
    <cellStyle name="常规 17 4 34 2" xfId="34395"/>
    <cellStyle name="常规 17 4 34 3" xfId="34397"/>
    <cellStyle name="常规 17 4 35" xfId="34401"/>
    <cellStyle name="常规 17 4 35 2" xfId="34402"/>
    <cellStyle name="常规 17 4 35 3" xfId="21525"/>
    <cellStyle name="常规 17 4 36" xfId="34403"/>
    <cellStyle name="常规 17 4 36 2" xfId="34406"/>
    <cellStyle name="常规 17 4 36 3" xfId="21544"/>
    <cellStyle name="常规 17 4 4" xfId="34409"/>
    <cellStyle name="常规 17 4 4 2" xfId="34410"/>
    <cellStyle name="常规 17 4 4 3" xfId="34411"/>
    <cellStyle name="常规 17 4 5" xfId="34412"/>
    <cellStyle name="常规 17 4 5 2" xfId="34413"/>
    <cellStyle name="常规 17 4 5 3" xfId="34414"/>
    <cellStyle name="常规 17 4 6" xfId="34415"/>
    <cellStyle name="常规 17 4 6 2" xfId="34416"/>
    <cellStyle name="常规 17 4 6 3" xfId="34417"/>
    <cellStyle name="常规 17 4 7" xfId="34418"/>
    <cellStyle name="常规 17 4 7 2" xfId="34419"/>
    <cellStyle name="常规 17 4 7 3" xfId="34420"/>
    <cellStyle name="常规 17 4 8" xfId="34421"/>
    <cellStyle name="常规 17 4 8 2" xfId="34422"/>
    <cellStyle name="常规 17 4 8 3" xfId="34423"/>
    <cellStyle name="常规 17 4 9" xfId="34424"/>
    <cellStyle name="常规 17 4 9 2" xfId="34425"/>
    <cellStyle name="常规 17 4 9 3" xfId="34426"/>
    <cellStyle name="常规 17 4_土建清单 (高层)" xfId="34427"/>
    <cellStyle name="常规 17 40" xfId="34309"/>
    <cellStyle name="常规 17 41" xfId="34311"/>
    <cellStyle name="常规 17 41 2" xfId="145"/>
    <cellStyle name="常规 17 41 3" xfId="5699"/>
    <cellStyle name="常规 17 42" xfId="34313"/>
    <cellStyle name="常规 17 42 2" xfId="34428"/>
    <cellStyle name="常规 17 42 3" xfId="34431"/>
    <cellStyle name="常规 17 43" xfId="34316"/>
    <cellStyle name="常规 17 43 2" xfId="34434"/>
    <cellStyle name="常规 17 43 3" xfId="34437"/>
    <cellStyle name="常规 17 44" xfId="34318"/>
    <cellStyle name="常规 17 44 2" xfId="34440"/>
    <cellStyle name="常规 17 44 3" xfId="34443"/>
    <cellStyle name="常规 17 45" xfId="34446"/>
    <cellStyle name="常规 17 45 2" xfId="34447"/>
    <cellStyle name="常规 17 45 3" xfId="34450"/>
    <cellStyle name="常规 17 46" xfId="34453"/>
    <cellStyle name="常规 17 46 2" xfId="34454"/>
    <cellStyle name="常规 17 46 3" xfId="34457"/>
    <cellStyle name="常规 17 47" xfId="34460"/>
    <cellStyle name="常规 17 47 2" xfId="34461"/>
    <cellStyle name="常规 17 47 3" xfId="34464"/>
    <cellStyle name="常规 17 48" xfId="34467"/>
    <cellStyle name="常规 17 48 2" xfId="34468"/>
    <cellStyle name="常规 17 48 3" xfId="34470"/>
    <cellStyle name="常规 17 5" xfId="34472"/>
    <cellStyle name="常规 17 5 10" xfId="34473"/>
    <cellStyle name="常规 17 5 10 2" xfId="34474"/>
    <cellStyle name="常规 17 5 10 3" xfId="34475"/>
    <cellStyle name="常规 17 5 11" xfId="34476"/>
    <cellStyle name="常规 17 5 11 2" xfId="34477"/>
    <cellStyle name="常规 17 5 11 3" xfId="34478"/>
    <cellStyle name="常规 17 5 12" xfId="34479"/>
    <cellStyle name="常规 17 5 12 2" xfId="34480"/>
    <cellStyle name="常规 17 5 12 3" xfId="34481"/>
    <cellStyle name="常规 17 5 13" xfId="34482"/>
    <cellStyle name="常规 17 5 13 2" xfId="34483"/>
    <cellStyle name="常规 17 5 13 3" xfId="34484"/>
    <cellStyle name="常规 17 5 14" xfId="34485"/>
    <cellStyle name="常规 17 5 14 2" xfId="34486"/>
    <cellStyle name="常规 17 5 14 3" xfId="34487"/>
    <cellStyle name="常规 17 5 15" xfId="34488"/>
    <cellStyle name="常规 17 5 15 2" xfId="34490"/>
    <cellStyle name="常规 17 5 15 3" xfId="34492"/>
    <cellStyle name="常规 17 5 16" xfId="34494"/>
    <cellStyle name="常规 17 5 16 2" xfId="34496"/>
    <cellStyle name="常规 17 5 16 3" xfId="34498"/>
    <cellStyle name="常规 17 5 17" xfId="34500"/>
    <cellStyle name="常规 17 5 17 2" xfId="34502"/>
    <cellStyle name="常规 17 5 17 3" xfId="34504"/>
    <cellStyle name="常规 17 5 18" xfId="34506"/>
    <cellStyle name="常规 17 5 18 2" xfId="34508"/>
    <cellStyle name="常规 17 5 18 3" xfId="34510"/>
    <cellStyle name="常规 17 5 19" xfId="34512"/>
    <cellStyle name="常规 17 5 19 2" xfId="34514"/>
    <cellStyle name="常规 17 5 19 3" xfId="34516"/>
    <cellStyle name="常规 17 5 2" xfId="34518"/>
    <cellStyle name="常规 17 5 2 2" xfId="34519"/>
    <cellStyle name="常规 17 5 2 3" xfId="34520"/>
    <cellStyle name="常规 17 5 20" xfId="34489"/>
    <cellStyle name="常规 17 5 20 2" xfId="34491"/>
    <cellStyle name="常规 17 5 20 3" xfId="34493"/>
    <cellStyle name="常规 17 5 21" xfId="34495"/>
    <cellStyle name="常规 17 5 21 2" xfId="34497"/>
    <cellStyle name="常规 17 5 21 3" xfId="34499"/>
    <cellStyle name="常规 17 5 22" xfId="34501"/>
    <cellStyle name="常规 17 5 22 2" xfId="34503"/>
    <cellStyle name="常规 17 5 22 3" xfId="34505"/>
    <cellStyle name="常规 17 5 23" xfId="34507"/>
    <cellStyle name="常规 17 5 23 2" xfId="34509"/>
    <cellStyle name="常规 17 5 23 3" xfId="34511"/>
    <cellStyle name="常规 17 5 24" xfId="34513"/>
    <cellStyle name="常规 17 5 24 2" xfId="34515"/>
    <cellStyle name="常规 17 5 24 3" xfId="34517"/>
    <cellStyle name="常规 17 5 25" xfId="34521"/>
    <cellStyle name="常规 17 5 25 2" xfId="34523"/>
    <cellStyle name="常规 17 5 25 3" xfId="34525"/>
    <cellStyle name="常规 17 5 26" xfId="34527"/>
    <cellStyle name="常规 17 5 26 2" xfId="34529"/>
    <cellStyle name="常规 17 5 26 3" xfId="34531"/>
    <cellStyle name="常规 17 5 27" xfId="34533"/>
    <cellStyle name="常规 17 5 27 2" xfId="34535"/>
    <cellStyle name="常规 17 5 27 3" xfId="34537"/>
    <cellStyle name="常规 17 5 28" xfId="34539"/>
    <cellStyle name="常规 17 5 28 2" xfId="34541"/>
    <cellStyle name="常规 17 5 28 3" xfId="34543"/>
    <cellStyle name="常规 17 5 29" xfId="34545"/>
    <cellStyle name="常规 17 5 29 2" xfId="34547"/>
    <cellStyle name="常规 17 5 29 3" xfId="34549"/>
    <cellStyle name="常规 17 5 3" xfId="34551"/>
    <cellStyle name="常规 17 5 3 2" xfId="34552"/>
    <cellStyle name="常规 17 5 3 3" xfId="34553"/>
    <cellStyle name="常规 17 5 30" xfId="34522"/>
    <cellStyle name="常规 17 5 30 2" xfId="34524"/>
    <cellStyle name="常规 17 5 30 3" xfId="34526"/>
    <cellStyle name="常规 17 5 31" xfId="34528"/>
    <cellStyle name="常规 17 5 31 2" xfId="34530"/>
    <cellStyle name="常规 17 5 31 3" xfId="34532"/>
    <cellStyle name="常规 17 5 32" xfId="34534"/>
    <cellStyle name="常规 17 5 32 2" xfId="34536"/>
    <cellStyle name="常规 17 5 32 3" xfId="34538"/>
    <cellStyle name="常规 17 5 33" xfId="34540"/>
    <cellStyle name="常规 17 5 33 2" xfId="34542"/>
    <cellStyle name="常规 17 5 33 3" xfId="34544"/>
    <cellStyle name="常规 17 5 34" xfId="34546"/>
    <cellStyle name="常规 17 5 34 2" xfId="34548"/>
    <cellStyle name="常规 17 5 34 3" xfId="34550"/>
    <cellStyle name="常规 17 5 35" xfId="34554"/>
    <cellStyle name="常规 17 5 35 2" xfId="34555"/>
    <cellStyle name="常规 17 5 35 3" xfId="21804"/>
    <cellStyle name="常规 17 5 36" xfId="34556"/>
    <cellStyle name="常规 17 5 36 2" xfId="34559"/>
    <cellStyle name="常规 17 5 36 3" xfId="21821"/>
    <cellStyle name="常规 17 5 4" xfId="34562"/>
    <cellStyle name="常规 17 5 4 2" xfId="34563"/>
    <cellStyle name="常规 17 5 4 3" xfId="34564"/>
    <cellStyle name="常规 17 5 5" xfId="34565"/>
    <cellStyle name="常规 17 5 5 2" xfId="34566"/>
    <cellStyle name="常规 17 5 5 3" xfId="34567"/>
    <cellStyle name="常规 17 5 6" xfId="34568"/>
    <cellStyle name="常规 17 5 6 2" xfId="34569"/>
    <cellStyle name="常规 17 5 6 3" xfId="34570"/>
    <cellStyle name="常规 17 5 7" xfId="34571"/>
    <cellStyle name="常规 17 5 7 2" xfId="34572"/>
    <cellStyle name="常规 17 5 7 3" xfId="34573"/>
    <cellStyle name="常规 17 5 8" xfId="34574"/>
    <cellStyle name="常规 17 5 8 2" xfId="34575"/>
    <cellStyle name="常规 17 5 8 3" xfId="34576"/>
    <cellStyle name="常规 17 5 9" xfId="34577"/>
    <cellStyle name="常规 17 5 9 2" xfId="34578"/>
    <cellStyle name="常规 17 5 9 3" xfId="34579"/>
    <cellStyle name="常规 17 5_土建清单 (高层)" xfId="34580"/>
    <cellStyle name="常规 17 6" xfId="34581"/>
    <cellStyle name="常规 17 7" xfId="34582"/>
    <cellStyle name="常规 17 8" xfId="34583"/>
    <cellStyle name="常规 17 9" xfId="26325"/>
    <cellStyle name="常规 17_土建清单 (高层)" xfId="34584"/>
    <cellStyle name="常规 18" xfId="34585"/>
    <cellStyle name="常规 18 2" xfId="1163"/>
    <cellStyle name="常规 18 3" xfId="34587"/>
    <cellStyle name="常规 18 4" xfId="34589"/>
    <cellStyle name="常规 18 4 2" xfId="34590"/>
    <cellStyle name="常规 18 4 2 2" xfId="34591"/>
    <cellStyle name="常规 18 5" xfId="34592"/>
    <cellStyle name="常规 19" xfId="34593"/>
    <cellStyle name="常规 19 2" xfId="34595"/>
    <cellStyle name="常规 2" xfId="34597"/>
    <cellStyle name="常规 2 10" xfId="34598"/>
    <cellStyle name="常规 2 10 2" xfId="34599"/>
    <cellStyle name="常规 2 10 3" xfId="34600"/>
    <cellStyle name="常规 2 10 3 2" xfId="10229"/>
    <cellStyle name="常规 2 11" xfId="34601"/>
    <cellStyle name="常规 2 11 2" xfId="34602"/>
    <cellStyle name="常规 2 11 3" xfId="34603"/>
    <cellStyle name="常规 2 12" xfId="34604"/>
    <cellStyle name="常规 2 12 2" xfId="34605"/>
    <cellStyle name="常规 2 12 3" xfId="34606"/>
    <cellStyle name="常规 2 13" xfId="34607"/>
    <cellStyle name="常规 2 13 2" xfId="34608"/>
    <cellStyle name="常规 2 13 3" xfId="34609"/>
    <cellStyle name="常规 2 14" xfId="34610"/>
    <cellStyle name="常规 2 14 2" xfId="34611"/>
    <cellStyle name="常规 2 14 3" xfId="34612"/>
    <cellStyle name="常规 2 15" xfId="34613"/>
    <cellStyle name="常规 2 15 2" xfId="34615"/>
    <cellStyle name="常规 2 15 3" xfId="34617"/>
    <cellStyle name="常规 2 16" xfId="34619"/>
    <cellStyle name="常规 2 16 2" xfId="34621"/>
    <cellStyle name="常规 2 16 3" xfId="34623"/>
    <cellStyle name="常规 2 17" xfId="34625"/>
    <cellStyle name="常规 2 17 2" xfId="34627"/>
    <cellStyle name="常规 2 17 3" xfId="34629"/>
    <cellStyle name="常规 2 18" xfId="34631"/>
    <cellStyle name="常规 2 18 2" xfId="34633"/>
    <cellStyle name="常规 2 18 3" xfId="34635"/>
    <cellStyle name="常规 2 19" xfId="34637"/>
    <cellStyle name="常规 2 19 2" xfId="34639"/>
    <cellStyle name="常规 2 19 2 2" xfId="34641"/>
    <cellStyle name="常规 2 19 2 3" xfId="34642"/>
    <cellStyle name="常规 2 19 3" xfId="34643"/>
    <cellStyle name="常规 2 19 3 2" xfId="34645"/>
    <cellStyle name="常规 2 19 3 3" xfId="34646"/>
    <cellStyle name="常规 2 19 4" xfId="34647"/>
    <cellStyle name="常规 2 19 4 2" xfId="34648"/>
    <cellStyle name="常规 2 19 4 3" xfId="34649"/>
    <cellStyle name="常规 2 19 5" xfId="34650"/>
    <cellStyle name="常规 2 19 5 2" xfId="34651"/>
    <cellStyle name="常规 2 19 5 3" xfId="34652"/>
    <cellStyle name="常规 2 19 6" xfId="34653"/>
    <cellStyle name="常规 2 19 6 2" xfId="34654"/>
    <cellStyle name="常规 2 19 6 3" xfId="34655"/>
    <cellStyle name="常规 2 19 7" xfId="34656"/>
    <cellStyle name="常规 2 19 7 2" xfId="34657"/>
    <cellStyle name="常规 2 19 7 3" xfId="34658"/>
    <cellStyle name="常规 2 2" xfId="34659"/>
    <cellStyle name="常规 2 2 10" xfId="34660"/>
    <cellStyle name="常规 2 2 10 2" xfId="34661"/>
    <cellStyle name="常规 2 2 10 3" xfId="34662"/>
    <cellStyle name="常规 2 2 11" xfId="34663"/>
    <cellStyle name="常规 2 2 12" xfId="34664"/>
    <cellStyle name="常规 2 2 13" xfId="34665"/>
    <cellStyle name="常规 2 2 14" xfId="34666"/>
    <cellStyle name="常规 2 2 15" xfId="34667"/>
    <cellStyle name="常规 2 2 16" xfId="34669"/>
    <cellStyle name="常规 2 2 17" xfId="34670"/>
    <cellStyle name="常规 2 2 18" xfId="34671"/>
    <cellStyle name="常规 2 2 19" xfId="34672"/>
    <cellStyle name="常规 2 2 2" xfId="34673"/>
    <cellStyle name="常规 2 2 2 10" xfId="34674"/>
    <cellStyle name="常规 2 2 2 2" xfId="34675"/>
    <cellStyle name="常规 2 2 2 3" xfId="34676"/>
    <cellStyle name="常规 2 2 2 4" xfId="34677"/>
    <cellStyle name="常规 2 2 20" xfId="34668"/>
    <cellStyle name="常规 2 2 3" xfId="34678"/>
    <cellStyle name="常规 2 2 3 2" xfId="34679"/>
    <cellStyle name="常规 2 2 3 3" xfId="34680"/>
    <cellStyle name="常规 2 2 4" xfId="34681"/>
    <cellStyle name="常规 2 2 4 2" xfId="34682"/>
    <cellStyle name="常规 2 2 4 3" xfId="34683"/>
    <cellStyle name="常规 2 2 5" xfId="34684"/>
    <cellStyle name="常规 2 2 5 2" xfId="34685"/>
    <cellStyle name="常规 2 2 5 3" xfId="34686"/>
    <cellStyle name="常规 2 2 6" xfId="34687"/>
    <cellStyle name="常规 2 2 6 2" xfId="34688"/>
    <cellStyle name="常规 2 2 6 3" xfId="34689"/>
    <cellStyle name="常规 2 2 7" xfId="34690"/>
    <cellStyle name="常规 2 2 7 2" xfId="34691"/>
    <cellStyle name="常规 2 2 7 3" xfId="34692"/>
    <cellStyle name="常规 2 2 8" xfId="34693"/>
    <cellStyle name="常规 2 2 8 2" xfId="34694"/>
    <cellStyle name="常规 2 2 8 3" xfId="34695"/>
    <cellStyle name="常规 2 2 9" xfId="34696"/>
    <cellStyle name="常规 2 2 9 2" xfId="3890"/>
    <cellStyle name="常规 2 2 9 3" xfId="34697"/>
    <cellStyle name="常规 2 2_香麓湾外墙装饰综合单价分析表" xfId="34698"/>
    <cellStyle name="常规 2 20" xfId="34614"/>
    <cellStyle name="常规 2 20 2" xfId="34616"/>
    <cellStyle name="常规 2 20 2 2" xfId="34699"/>
    <cellStyle name="常规 2 20 2 3" xfId="34700"/>
    <cellStyle name="常规 2 20 3" xfId="34618"/>
    <cellStyle name="常规 2 20 3 2" xfId="34701"/>
    <cellStyle name="常规 2 20 3 3" xfId="34702"/>
    <cellStyle name="常规 2 20 4" xfId="34703"/>
    <cellStyle name="常规 2 20 4 2" xfId="34704"/>
    <cellStyle name="常规 2 20 4 3" xfId="34705"/>
    <cellStyle name="常规 2 20 5" xfId="34706"/>
    <cellStyle name="常规 2 20 5 2" xfId="34707"/>
    <cellStyle name="常规 2 20 5 3" xfId="34708"/>
    <cellStyle name="常规 2 20 6" xfId="34709"/>
    <cellStyle name="常规 2 20 6 2" xfId="34710"/>
    <cellStyle name="常规 2 20 6 3" xfId="34711"/>
    <cellStyle name="常规 2 20 7" xfId="34712"/>
    <cellStyle name="常规 2 20 7 2" xfId="34713"/>
    <cellStyle name="常规 2 20 7 3" xfId="34714"/>
    <cellStyle name="常规 2 21" xfId="34620"/>
    <cellStyle name="常规 2 21 2" xfId="34622"/>
    <cellStyle name="常规 2 21 2 2" xfId="34715"/>
    <cellStyle name="常规 2 21 2 3" xfId="34716"/>
    <cellStyle name="常规 2 21 3" xfId="34624"/>
    <cellStyle name="常规 2 21 3 2" xfId="34717"/>
    <cellStyle name="常规 2 21 3 3" xfId="34718"/>
    <cellStyle name="常规 2 21 4" xfId="34719"/>
    <cellStyle name="常规 2 21 4 2" xfId="34720"/>
    <cellStyle name="常规 2 21 4 3" xfId="34721"/>
    <cellStyle name="常规 2 21 5" xfId="34722"/>
    <cellStyle name="常规 2 21 5 2" xfId="34723"/>
    <cellStyle name="常规 2 21 5 3" xfId="34724"/>
    <cellStyle name="常规 2 21 6" xfId="34725"/>
    <cellStyle name="常规 2 21 6 2" xfId="34726"/>
    <cellStyle name="常规 2 21 6 3" xfId="34727"/>
    <cellStyle name="常规 2 21 7" xfId="34728"/>
    <cellStyle name="常规 2 21 7 2" xfId="34729"/>
    <cellStyle name="常规 2 21 7 3" xfId="34730"/>
    <cellStyle name="常规 2 22" xfId="34626"/>
    <cellStyle name="常规 2 22 2" xfId="34628"/>
    <cellStyle name="常规 2 22 2 2" xfId="34731"/>
    <cellStyle name="常规 2 22 2 3" xfId="34732"/>
    <cellStyle name="常规 2 22 3" xfId="34630"/>
    <cellStyle name="常规 2 22 3 2" xfId="34733"/>
    <cellStyle name="常规 2 22 3 3" xfId="34734"/>
    <cellStyle name="常规 2 22 4" xfId="34735"/>
    <cellStyle name="常规 2 22 4 2" xfId="34736"/>
    <cellStyle name="常规 2 22 4 3" xfId="34737"/>
    <cellStyle name="常规 2 22 5" xfId="34738"/>
    <cellStyle name="常规 2 22 5 2" xfId="34739"/>
    <cellStyle name="常规 2 22 5 3" xfId="34740"/>
    <cellStyle name="常规 2 22 6" xfId="34741"/>
    <cellStyle name="常规 2 22 6 2" xfId="34742"/>
    <cellStyle name="常规 2 22 6 3" xfId="34743"/>
    <cellStyle name="常规 2 22 7" xfId="34744"/>
    <cellStyle name="常规 2 22 7 2" xfId="34745"/>
    <cellStyle name="常规 2 22 7 3" xfId="34746"/>
    <cellStyle name="常规 2 23" xfId="34632"/>
    <cellStyle name="常规 2 23 2" xfId="34634"/>
    <cellStyle name="常规 2 23 2 2" xfId="34747"/>
    <cellStyle name="常规 2 23 2 3" xfId="34748"/>
    <cellStyle name="常规 2 23 3" xfId="34636"/>
    <cellStyle name="常规 2 23 3 2" xfId="5745"/>
    <cellStyle name="常规 2 23 3 3" xfId="5747"/>
    <cellStyle name="常规 2 23 4" xfId="34749"/>
    <cellStyle name="常规 2 23 4 2" xfId="4131"/>
    <cellStyle name="常规 2 23 4 3" xfId="4134"/>
    <cellStyle name="常规 2 23 5" xfId="34750"/>
    <cellStyle name="常规 2 23 5 2" xfId="5440"/>
    <cellStyle name="常规 2 23 5 3" xfId="5444"/>
    <cellStyle name="常规 2 23 6" xfId="34751"/>
    <cellStyle name="常规 2 23 6 2" xfId="5787"/>
    <cellStyle name="常规 2 23 6 3" xfId="5791"/>
    <cellStyle name="常规 2 23 7" xfId="34752"/>
    <cellStyle name="常规 2 23 7 2" xfId="5815"/>
    <cellStyle name="常规 2 23 7 3" xfId="5820"/>
    <cellStyle name="常规 2 24" xfId="34638"/>
    <cellStyle name="常规 2 24 2" xfId="34640"/>
    <cellStyle name="常规 2 24 3" xfId="34644"/>
    <cellStyle name="常规 2 25" xfId="34753"/>
    <cellStyle name="常规 2 25 2" xfId="34755"/>
    <cellStyle name="常规 2 25 3" xfId="34757"/>
    <cellStyle name="常规 2 26" xfId="34759"/>
    <cellStyle name="常规 2 26 2" xfId="34761"/>
    <cellStyle name="常规 2 26 3" xfId="34763"/>
    <cellStyle name="常规 2 27" xfId="34765"/>
    <cellStyle name="常规 2 27 2" xfId="34767"/>
    <cellStyle name="常规 2 27 2 2" xfId="34769"/>
    <cellStyle name="常规 2 27 2 3" xfId="34770"/>
    <cellStyle name="常规 2 27 3" xfId="34771"/>
    <cellStyle name="常规 2 27 3 2" xfId="34773"/>
    <cellStyle name="常规 2 27 3 3" xfId="34774"/>
    <cellStyle name="常规 2 27 4" xfId="34775"/>
    <cellStyle name="常规 2 27 4 2" xfId="34776"/>
    <cellStyle name="常规 2 27 4 3" xfId="34777"/>
    <cellStyle name="常规 2 27 5" xfId="34778"/>
    <cellStyle name="常规 2 27 5 2" xfId="34779"/>
    <cellStyle name="常规 2 27 5 3" xfId="34780"/>
    <cellStyle name="常规 2 27 6" xfId="34781"/>
    <cellStyle name="常规 2 27 6 2" xfId="34782"/>
    <cellStyle name="常规 2 27 6 3" xfId="34783"/>
    <cellStyle name="常规 2 27 7" xfId="34784"/>
    <cellStyle name="常规 2 27 7 2" xfId="34785"/>
    <cellStyle name="常规 2 27 7 3" xfId="34786"/>
    <cellStyle name="常规 2 28" xfId="34787"/>
    <cellStyle name="常规 2 28 2" xfId="34789"/>
    <cellStyle name="常规 2 28 3" xfId="34791"/>
    <cellStyle name="常规 2 29" xfId="34793"/>
    <cellStyle name="常规 2 29 2" xfId="34795"/>
    <cellStyle name="常规 2 29 3" xfId="34797"/>
    <cellStyle name="常规 2 3" xfId="34799"/>
    <cellStyle name="常规 2 3 2" xfId="34800"/>
    <cellStyle name="常规 2 3 2 2" xfId="34801"/>
    <cellStyle name="常规 2 3 3" xfId="34802"/>
    <cellStyle name="常规 2 3 3 2" xfId="34803"/>
    <cellStyle name="常规 2 3 3 3" xfId="34804"/>
    <cellStyle name="常规 2 3 4" xfId="34805"/>
    <cellStyle name="常规 2 3 4 2" xfId="34806"/>
    <cellStyle name="常规 2 3 4 3" xfId="34807"/>
    <cellStyle name="常规 2 3 5" xfId="34808"/>
    <cellStyle name="常规 2 3 5 2" xfId="34809"/>
    <cellStyle name="常规 2 3 5 3" xfId="34810"/>
    <cellStyle name="常规 2 3 6" xfId="34811"/>
    <cellStyle name="常规 2 3 6 2" xfId="34812"/>
    <cellStyle name="常规 2 3 6 3" xfId="34813"/>
    <cellStyle name="常规 2 3 7" xfId="34814"/>
    <cellStyle name="常规 2 3 7 2" xfId="34815"/>
    <cellStyle name="常规 2 3 7 3" xfId="34816"/>
    <cellStyle name="常规 2 3 8" xfId="34817"/>
    <cellStyle name="常规 2 3 8 2" xfId="34818"/>
    <cellStyle name="常规 2 3 8 3" xfId="34819"/>
    <cellStyle name="常规 2 3 9" xfId="34820"/>
    <cellStyle name="常规 2 30" xfId="34754"/>
    <cellStyle name="常规 2 30 2" xfId="34756"/>
    <cellStyle name="常规 2 30 3" xfId="34758"/>
    <cellStyle name="常规 2 31" xfId="34760"/>
    <cellStyle name="常规 2 31 2" xfId="34762"/>
    <cellStyle name="常规 2 31 3" xfId="34764"/>
    <cellStyle name="常规 2 32" xfId="34766"/>
    <cellStyle name="常规 2 32 2" xfId="34768"/>
    <cellStyle name="常规 2 32 3" xfId="34772"/>
    <cellStyle name="常规 2 33" xfId="34788"/>
    <cellStyle name="常规 2 33 2" xfId="34790"/>
    <cellStyle name="常规 2 33 3" xfId="34792"/>
    <cellStyle name="常规 2 34" xfId="34794"/>
    <cellStyle name="常规 2 34 2" xfId="34796"/>
    <cellStyle name="常规 2 34 2 2" xfId="34821"/>
    <cellStyle name="常规 2 34 2 3" xfId="34822"/>
    <cellStyle name="常规 2 34 3" xfId="34798"/>
    <cellStyle name="常规 2 34 3 2" xfId="34823"/>
    <cellStyle name="常规 2 34 3 3" xfId="34824"/>
    <cellStyle name="常规 2 34 4" xfId="34825"/>
    <cellStyle name="常规 2 34 4 2" xfId="34826"/>
    <cellStyle name="常规 2 34 4 3" xfId="34827"/>
    <cellStyle name="常规 2 34 5" xfId="34828"/>
    <cellStyle name="常规 2 34 5 2" xfId="34829"/>
    <cellStyle name="常规 2 34 5 3" xfId="34830"/>
    <cellStyle name="常规 2 34 6" xfId="34831"/>
    <cellStyle name="常规 2 34 6 2" xfId="34832"/>
    <cellStyle name="常规 2 34 6 3" xfId="34833"/>
    <cellStyle name="常规 2 34 7" xfId="34834"/>
    <cellStyle name="常规 2 34 7 2" xfId="34835"/>
    <cellStyle name="常规 2 34 7 3" xfId="34836"/>
    <cellStyle name="常规 2 35" xfId="34837"/>
    <cellStyle name="常规 2 35 2" xfId="34839"/>
    <cellStyle name="常规 2 35 2 2" xfId="34841"/>
    <cellStyle name="常规 2 35 2 3" xfId="34842"/>
    <cellStyle name="常规 2 35 3" xfId="34843"/>
    <cellStyle name="常规 2 35 3 2" xfId="34845"/>
    <cellStyle name="常规 2 35 3 3" xfId="34846"/>
    <cellStyle name="常规 2 35 4" xfId="34847"/>
    <cellStyle name="常规 2 35 4 2" xfId="34848"/>
    <cellStyle name="常规 2 35 4 3" xfId="34849"/>
    <cellStyle name="常规 2 35 5" xfId="34850"/>
    <cellStyle name="常规 2 35 5 2" xfId="34851"/>
    <cellStyle name="常规 2 35 5 3" xfId="34852"/>
    <cellStyle name="常规 2 35 6" xfId="34853"/>
    <cellStyle name="常规 2 35 6 2" xfId="34854"/>
    <cellStyle name="常规 2 35 6 3" xfId="34855"/>
    <cellStyle name="常规 2 35 7" xfId="34856"/>
    <cellStyle name="常规 2 35 7 2" xfId="34857"/>
    <cellStyle name="常规 2 35 7 3" xfId="34858"/>
    <cellStyle name="常规 2 36" xfId="34859"/>
    <cellStyle name="常规 2 36 2" xfId="34861"/>
    <cellStyle name="常规 2 36 3" xfId="34863"/>
    <cellStyle name="常规 2 37" xfId="34865"/>
    <cellStyle name="常规 2 37 2" xfId="34867"/>
    <cellStyle name="常规 2 37 3" xfId="34868"/>
    <cellStyle name="常规 2 38" xfId="34869"/>
    <cellStyle name="常规 2 38 2" xfId="20335"/>
    <cellStyle name="常规 2 38 3" xfId="34871"/>
    <cellStyle name="常规 2 39" xfId="34872"/>
    <cellStyle name="常规 2 39 2" xfId="34874"/>
    <cellStyle name="常规 2 39 3" xfId="34875"/>
    <cellStyle name="常规 2 4" xfId="34876"/>
    <cellStyle name="常规 2 4 2" xfId="34877"/>
    <cellStyle name="常规 2 4 3" xfId="34878"/>
    <cellStyle name="常规 2 4 3 2" xfId="34879"/>
    <cellStyle name="常规 2 4 3 3" xfId="34880"/>
    <cellStyle name="常规 2 4 4" xfId="34881"/>
    <cellStyle name="常规 2 4 4 2" xfId="34882"/>
    <cellStyle name="常规 2 4 4 3" xfId="34883"/>
    <cellStyle name="常规 2 4 5" xfId="34884"/>
    <cellStyle name="常规 2 4 5 2" xfId="34885"/>
    <cellStyle name="常规 2 4 5 3" xfId="34886"/>
    <cellStyle name="常规 2 4 6" xfId="34887"/>
    <cellStyle name="常规 2 4 6 2" xfId="34888"/>
    <cellStyle name="常规 2 4 6 3" xfId="34889"/>
    <cellStyle name="常规 2 4 7" xfId="34890"/>
    <cellStyle name="常规 2 4 7 2" xfId="34891"/>
    <cellStyle name="常规 2 4 7 3" xfId="34892"/>
    <cellStyle name="常规 2 4 8" xfId="34893"/>
    <cellStyle name="常规 2 4 8 2" xfId="34894"/>
    <cellStyle name="常规 2 4 8 3" xfId="34895"/>
    <cellStyle name="常规 2 4 9" xfId="34896"/>
    <cellStyle name="常规 2 40" xfId="34838"/>
    <cellStyle name="常规 2 40 2" xfId="34840"/>
    <cellStyle name="常规 2 40 3" xfId="34844"/>
    <cellStyle name="常规 2 41" xfId="34860"/>
    <cellStyle name="常规 2 41 2" xfId="34862"/>
    <cellStyle name="常规 2 41 3" xfId="34864"/>
    <cellStyle name="常规 2 42" xfId="34866"/>
    <cellStyle name="常规 2 43" xfId="34870"/>
    <cellStyle name="常规 2 44" xfId="34873"/>
    <cellStyle name="常规 2 45" xfId="34897"/>
    <cellStyle name="常规 2 46" xfId="34899"/>
    <cellStyle name="常规 2 47" xfId="34901"/>
    <cellStyle name="常规 2 48" xfId="34903"/>
    <cellStyle name="常规 2 49" xfId="34904"/>
    <cellStyle name="常规 2 5" xfId="34905"/>
    <cellStyle name="常规 2 5 2" xfId="34906"/>
    <cellStyle name="常规 2 5 2 2" xfId="34907"/>
    <cellStyle name="常规 2 5 2 3" xfId="34908"/>
    <cellStyle name="常规 2 5 3" xfId="34909"/>
    <cellStyle name="常规 2 5 3 2" xfId="34910"/>
    <cellStyle name="常规 2 5 3 3" xfId="34911"/>
    <cellStyle name="常规 2 5 4" xfId="34912"/>
    <cellStyle name="常规 2 5 4 2" xfId="34913"/>
    <cellStyle name="常规 2 5 4 3" xfId="34914"/>
    <cellStyle name="常规 2 5 5" xfId="34915"/>
    <cellStyle name="常规 2 5 5 2" xfId="34916"/>
    <cellStyle name="常规 2 5 5 3" xfId="34917"/>
    <cellStyle name="常规 2 5 6" xfId="34918"/>
    <cellStyle name="常规 2 5 6 2" xfId="34919"/>
    <cellStyle name="常规 2 5 6 3" xfId="34920"/>
    <cellStyle name="常规 2 5 7" xfId="34921"/>
    <cellStyle name="常规 2 5 7 2" xfId="34922"/>
    <cellStyle name="常规 2 5 7 3" xfId="34923"/>
    <cellStyle name="常规 2 5 8" xfId="34924"/>
    <cellStyle name="常规 2 50" xfId="34898"/>
    <cellStyle name="常规 2 51" xfId="34900"/>
    <cellStyle name="常规 2 52" xfId="34902"/>
    <cellStyle name="常规 2 53 6" xfId="34925"/>
    <cellStyle name="常规 2 6" xfId="34926"/>
    <cellStyle name="常规 2 6 10" xfId="34927"/>
    <cellStyle name="常规 2 6 2" xfId="34928"/>
    <cellStyle name="常规 2 6 2 2" xfId="34929"/>
    <cellStyle name="常规 2 6 2 3" xfId="34930"/>
    <cellStyle name="常规 2 6 3" xfId="34931"/>
    <cellStyle name="常规 2 6 3 2" xfId="34932"/>
    <cellStyle name="常规 2 6 3 3" xfId="34933"/>
    <cellStyle name="常规 2 6 4" xfId="34934"/>
    <cellStyle name="常规 2 6 4 2" xfId="34935"/>
    <cellStyle name="常规 2 6 4 3" xfId="34936"/>
    <cellStyle name="常规 2 6 5" xfId="34937"/>
    <cellStyle name="常规 2 6 5 2" xfId="34938"/>
    <cellStyle name="常规 2 6 5 3" xfId="34939"/>
    <cellStyle name="常规 2 6 6" xfId="34940"/>
    <cellStyle name="常规 2 6 6 2" xfId="34941"/>
    <cellStyle name="常规 2 6 6 3" xfId="34942"/>
    <cellStyle name="常规 2 6 7" xfId="34943"/>
    <cellStyle name="常规 2 6 7 2" xfId="34944"/>
    <cellStyle name="常规 2 6 7 3" xfId="34945"/>
    <cellStyle name="常规 2 6 8" xfId="34946"/>
    <cellStyle name="常规 2 6 9" xfId="34947"/>
    <cellStyle name="常规 2 67" xfId="34948"/>
    <cellStyle name="常规 2 68" xfId="34949"/>
    <cellStyle name="常规 2 7" xfId="34950"/>
    <cellStyle name="常规 2 7 2" xfId="34951"/>
    <cellStyle name="常规 2 7 2 2" xfId="34952"/>
    <cellStyle name="常规 2 7 2 3" xfId="34953"/>
    <cellStyle name="常规 2 7 3" xfId="34954"/>
    <cellStyle name="常规 2 7 3 2" xfId="34955"/>
    <cellStyle name="常规 2 7 3 3" xfId="34956"/>
    <cellStyle name="常规 2 7 4" xfId="34957"/>
    <cellStyle name="常规 2 7 4 2" xfId="34958"/>
    <cellStyle name="常规 2 7 4 3" xfId="34959"/>
    <cellStyle name="常规 2 7 5" xfId="34960"/>
    <cellStyle name="常规 2 7 5 2" xfId="34961"/>
    <cellStyle name="常规 2 7 5 3" xfId="34962"/>
    <cellStyle name="常规 2 7 6" xfId="34963"/>
    <cellStyle name="常规 2 7 6 2" xfId="34964"/>
    <cellStyle name="常规 2 7 6 3" xfId="34965"/>
    <cellStyle name="常规 2 7 7" xfId="34966"/>
    <cellStyle name="常规 2 7 7 2" xfId="34967"/>
    <cellStyle name="常规 2 7 7 3" xfId="34968"/>
    <cellStyle name="常规 2 7 8" xfId="34969"/>
    <cellStyle name="常规 2 8" xfId="34970"/>
    <cellStyle name="常规 2 8 2" xfId="34971"/>
    <cellStyle name="常规 2 8 3" xfId="34972"/>
    <cellStyle name="常规 2 9" xfId="34973"/>
    <cellStyle name="常规 2 9 2" xfId="34974"/>
    <cellStyle name="常规 2 9 3" xfId="34975"/>
    <cellStyle name="常规 2_coco蜜城商业外装饰工程清单" xfId="34976"/>
    <cellStyle name="常规 20" xfId="33791"/>
    <cellStyle name="常规 20 2" xfId="12461"/>
    <cellStyle name="常规 21" xfId="33795"/>
    <cellStyle name="常规 21 2" xfId="6084"/>
    <cellStyle name="常规 22" xfId="33798"/>
    <cellStyle name="常规 22 2" xfId="12608"/>
    <cellStyle name="常规 22 3" xfId="12611"/>
    <cellStyle name="常规 23" xfId="34586"/>
    <cellStyle name="常规 23 2" xfId="1164"/>
    <cellStyle name="常规 23 3" xfId="34588"/>
    <cellStyle name="常规 24" xfId="34594"/>
    <cellStyle name="常规 24 2" xfId="34596"/>
    <cellStyle name="常规 24 3" xfId="34977"/>
    <cellStyle name="常规 25" xfId="34978"/>
    <cellStyle name="常规 25 2" xfId="34980"/>
    <cellStyle name="常规 26" xfId="34981"/>
    <cellStyle name="常规 26 2" xfId="34983"/>
    <cellStyle name="常规 27" xfId="34985"/>
    <cellStyle name="常规 27 2" xfId="34987"/>
    <cellStyle name="常规 28" xfId="34989"/>
    <cellStyle name="常规 28 2" xfId="31149"/>
    <cellStyle name="常规 28 2 2" xfId="34991"/>
    <cellStyle name="常规 29" xfId="34994"/>
    <cellStyle name="常规 29 2" xfId="34996"/>
    <cellStyle name="常规 29 3" xfId="34997"/>
    <cellStyle name="常规 29 3 2" xfId="34998"/>
    <cellStyle name="常规 3" xfId="34999"/>
    <cellStyle name="常规 3 10" xfId="35000"/>
    <cellStyle name="常规 3 10 2" xfId="35001"/>
    <cellStyle name="常规 3 11" xfId="35002"/>
    <cellStyle name="常规 3 11 2" xfId="35003"/>
    <cellStyle name="常规 3 12" xfId="35004"/>
    <cellStyle name="常规 3 12 2" xfId="35005"/>
    <cellStyle name="常规 3 13" xfId="35006"/>
    <cellStyle name="常规 3 14" xfId="35007"/>
    <cellStyle name="常规 3 15" xfId="35008"/>
    <cellStyle name="常规 3 16" xfId="35010"/>
    <cellStyle name="常规 3 17" xfId="35012"/>
    <cellStyle name="常规 3 18" xfId="35014"/>
    <cellStyle name="常规 3 19" xfId="35016"/>
    <cellStyle name="常规 3 2" xfId="35018"/>
    <cellStyle name="常规 3 2 2" xfId="35019"/>
    <cellStyle name="常规 3 2 2 2" xfId="35020"/>
    <cellStyle name="常规 3 2 2 3" xfId="35021"/>
    <cellStyle name="常规 3 20" xfId="35009"/>
    <cellStyle name="常规 3 21" xfId="35011"/>
    <cellStyle name="常规 3 22" xfId="35013"/>
    <cellStyle name="常规 3 23" xfId="35015"/>
    <cellStyle name="常规 3 24" xfId="35017"/>
    <cellStyle name="常规 3 25" xfId="35022"/>
    <cellStyle name="常规 3 26" xfId="35024"/>
    <cellStyle name="常规 3 27" xfId="35025"/>
    <cellStyle name="常规 3 28" xfId="35026"/>
    <cellStyle name="常规 3 29" xfId="35027"/>
    <cellStyle name="常规 3 3" xfId="35028"/>
    <cellStyle name="常规 3 3 10" xfId="35029"/>
    <cellStyle name="常规 3 3 11" xfId="35030"/>
    <cellStyle name="常规 3 3 2" xfId="35031"/>
    <cellStyle name="常规 3 3 3" xfId="35032"/>
    <cellStyle name="常规 3 3 4" xfId="35033"/>
    <cellStyle name="常规 3 3 5" xfId="35034"/>
    <cellStyle name="常规 3 3 6" xfId="35035"/>
    <cellStyle name="常规 3 3 7" xfId="35036"/>
    <cellStyle name="常规 3 3 8" xfId="35037"/>
    <cellStyle name="常规 3 3 9" xfId="35038"/>
    <cellStyle name="常规 3 30" xfId="35023"/>
    <cellStyle name="常规 3 4" xfId="35039"/>
    <cellStyle name="常规 3 4 10" xfId="35040"/>
    <cellStyle name="常规 3 4 2" xfId="35041"/>
    <cellStyle name="常规 3 4 3" xfId="35042"/>
    <cellStyle name="常规 3 4 4" xfId="35043"/>
    <cellStyle name="常规 3 4 5" xfId="35044"/>
    <cellStyle name="常规 3 4 6" xfId="35045"/>
    <cellStyle name="常规 3 4 7" xfId="35046"/>
    <cellStyle name="常规 3 4 8" xfId="35047"/>
    <cellStyle name="常规 3 4 9" xfId="35048"/>
    <cellStyle name="常规 3 5" xfId="35049"/>
    <cellStyle name="常规 3 5 2" xfId="35050"/>
    <cellStyle name="常规 3 6" xfId="35051"/>
    <cellStyle name="常规 3 6 2" xfId="35052"/>
    <cellStyle name="常规 3 7" xfId="35053"/>
    <cellStyle name="常规 3 7 2" xfId="35054"/>
    <cellStyle name="常规 3 8" xfId="35055"/>
    <cellStyle name="常规 3 8 2" xfId="35056"/>
    <cellStyle name="常规 3 9" xfId="35057"/>
    <cellStyle name="常规 3 9 2" xfId="35058"/>
    <cellStyle name="常规 3_桩基础清单 " xfId="35059"/>
    <cellStyle name="常规 30" xfId="34979"/>
    <cellStyle name="常规 31" xfId="34982"/>
    <cellStyle name="常规 31 2" xfId="34984"/>
    <cellStyle name="常规 32" xfId="34986"/>
    <cellStyle name="常规 32 2" xfId="34988"/>
    <cellStyle name="常规 33" xfId="34990"/>
    <cellStyle name="常规 34" xfId="34995"/>
    <cellStyle name="常规 35" xfId="35060"/>
    <cellStyle name="常规 36" xfId="35062"/>
    <cellStyle name="常规 37" xfId="4269"/>
    <cellStyle name="常规 37 2" xfId="35064"/>
    <cellStyle name="常规 37 2 2" xfId="35066"/>
    <cellStyle name="常规 37 2 2 2" xfId="35067"/>
    <cellStyle name="常规 37 3" xfId="35068"/>
    <cellStyle name="常规 38" xfId="4275"/>
    <cellStyle name="常规 39" xfId="35069"/>
    <cellStyle name="常规 4" xfId="35071"/>
    <cellStyle name="常规 4 10" xfId="686"/>
    <cellStyle name="常规 4 11" xfId="74"/>
    <cellStyle name="常规 4 12" xfId="23802"/>
    <cellStyle name="常规 4 13" xfId="23805"/>
    <cellStyle name="常规 4 14" xfId="23808"/>
    <cellStyle name="常规 4 15" xfId="23812"/>
    <cellStyle name="常规 4 16" xfId="35072"/>
    <cellStyle name="常规 4 17" xfId="35074"/>
    <cellStyle name="常规 4 18" xfId="35076"/>
    <cellStyle name="常规 4 19" xfId="35078"/>
    <cellStyle name="常规 4 2" xfId="35080"/>
    <cellStyle name="常规 4 2 10" xfId="35082"/>
    <cellStyle name="常规 4 2 2" xfId="35083"/>
    <cellStyle name="常规 4 2 2 10" xfId="35084"/>
    <cellStyle name="常规 4 2 2 11" xfId="35085"/>
    <cellStyle name="常规 4 2 2 12" xfId="35086"/>
    <cellStyle name="常规 4 2 2 13" xfId="35087"/>
    <cellStyle name="常规 4 2 2 14" xfId="35088"/>
    <cellStyle name="常规 4 2 2 15" xfId="12111"/>
    <cellStyle name="常规 4 2 2 16" xfId="12116"/>
    <cellStyle name="常规 4 2 2 17" xfId="35089"/>
    <cellStyle name="常规 4 2 2 18" xfId="35091"/>
    <cellStyle name="常规 4 2 2 19" xfId="35093"/>
    <cellStyle name="常规 4 2 2 2" xfId="35094"/>
    <cellStyle name="常规 4 2 2 20" xfId="12110"/>
    <cellStyle name="常规 4 2 2 21" xfId="12115"/>
    <cellStyle name="常规 4 2 2 22" xfId="35090"/>
    <cellStyle name="常规 4 2 2 23" xfId="35092"/>
    <cellStyle name="常规 4 2 2 3" xfId="35095"/>
    <cellStyle name="常规 4 2 2 3 10" xfId="35096"/>
    <cellStyle name="常规 4 2 2 3 2" xfId="35097"/>
    <cellStyle name="常规 4 2 2 3 3" xfId="35098"/>
    <cellStyle name="常规 4 2 2 3 4" xfId="35099"/>
    <cellStyle name="常规 4 2 2 3 5" xfId="35100"/>
    <cellStyle name="常规 4 2 2 3 6" xfId="35101"/>
    <cellStyle name="常规 4 2 2 3 7" xfId="35102"/>
    <cellStyle name="常规 4 2 2 3 8" xfId="35103"/>
    <cellStyle name="常规 4 2 2 3 9" xfId="35104"/>
    <cellStyle name="常规 4 2 2 4" xfId="35105"/>
    <cellStyle name="常规 4 2 2 4 10" xfId="35106"/>
    <cellStyle name="常规 4 2 2 4 2" xfId="35107"/>
    <cellStyle name="常规 4 2 2 4 3" xfId="35108"/>
    <cellStyle name="常规 4 2 2 4 4" xfId="35109"/>
    <cellStyle name="常规 4 2 2 4 5" xfId="35110"/>
    <cellStyle name="常规 4 2 2 4 6" xfId="35111"/>
    <cellStyle name="常规 4 2 2 4 7" xfId="35112"/>
    <cellStyle name="常规 4 2 2 4 8" xfId="35113"/>
    <cellStyle name="常规 4 2 2 4 9" xfId="35114"/>
    <cellStyle name="常规 4 2 2 5" xfId="35115"/>
    <cellStyle name="常规 4 2 2 6" xfId="35116"/>
    <cellStyle name="常规 4 2 2 7" xfId="35117"/>
    <cellStyle name="常规 4 2 2 8" xfId="35118"/>
    <cellStyle name="常规 4 2 2 9" xfId="35119"/>
    <cellStyle name="常规 4 2 3" xfId="35120"/>
    <cellStyle name="常规 4 2 3 2" xfId="35121"/>
    <cellStyle name="常规 4 2 4" xfId="35122"/>
    <cellStyle name="常规 4 2 5" xfId="35123"/>
    <cellStyle name="常规 4 2 6" xfId="35124"/>
    <cellStyle name="常规 4 2 7" xfId="35125"/>
    <cellStyle name="常规 4 2 8" xfId="35126"/>
    <cellStyle name="常规 4 2 9" xfId="35127"/>
    <cellStyle name="常规 4 20" xfId="23811"/>
    <cellStyle name="常规 4 21" xfId="35073"/>
    <cellStyle name="常规 4 22" xfId="35075"/>
    <cellStyle name="常规 4 23" xfId="35077"/>
    <cellStyle name="常规 4 24" xfId="35079"/>
    <cellStyle name="常规 4 25" xfId="35128"/>
    <cellStyle name="常规 4 26" xfId="35130"/>
    <cellStyle name="常规 4 27" xfId="35132"/>
    <cellStyle name="常规 4 28" xfId="35134"/>
    <cellStyle name="常规 4 29" xfId="35136"/>
    <cellStyle name="常规 4 3" xfId="35138"/>
    <cellStyle name="常规 4 3 10" xfId="35139"/>
    <cellStyle name="常规 4 3 11" xfId="35140"/>
    <cellStyle name="常规 4 3 12" xfId="35141"/>
    <cellStyle name="常规 4 3 13" xfId="35142"/>
    <cellStyle name="常规 4 3 14" xfId="35143"/>
    <cellStyle name="常规 4 3 15" xfId="35144"/>
    <cellStyle name="常规 4 3 16" xfId="35146"/>
    <cellStyle name="常规 4 3 17" xfId="35148"/>
    <cellStyle name="常规 4 3 18" xfId="35150"/>
    <cellStyle name="常规 4 3 19" xfId="35152"/>
    <cellStyle name="常规 4 3 2" xfId="35154"/>
    <cellStyle name="常规 4 3 20" xfId="35145"/>
    <cellStyle name="常规 4 3 21" xfId="35147"/>
    <cellStyle name="常规 4 3 22" xfId="35149"/>
    <cellStyle name="常规 4 3 22 2" xfId="35155"/>
    <cellStyle name="常规 4 3 22 3" xfId="35156"/>
    <cellStyle name="常规 4 3 23" xfId="35151"/>
    <cellStyle name="常规 4 3 23 2" xfId="35157"/>
    <cellStyle name="常规 4 3 23 3" xfId="35158"/>
    <cellStyle name="常规 4 3 24" xfId="35153"/>
    <cellStyle name="常规 4 3 24 2" xfId="35159"/>
    <cellStyle name="常规 4 3 24 3" xfId="35160"/>
    <cellStyle name="常规 4 3 25" xfId="35161"/>
    <cellStyle name="常规 4 3 25 2" xfId="35163"/>
    <cellStyle name="常规 4 3 25 3" xfId="35164"/>
    <cellStyle name="常规 4 3 26" xfId="35165"/>
    <cellStyle name="常规 4 3 26 2" xfId="35167"/>
    <cellStyle name="常规 4 3 26 3" xfId="35168"/>
    <cellStyle name="常规 4 3 27" xfId="35169"/>
    <cellStyle name="常规 4 3 28" xfId="35171"/>
    <cellStyle name="常规 4 3 29" xfId="35173"/>
    <cellStyle name="常规 4 3 3" xfId="35175"/>
    <cellStyle name="常规 4 3 3 10" xfId="35176"/>
    <cellStyle name="常规 4 3 3 11" xfId="9867"/>
    <cellStyle name="常规 4 3 3 12" xfId="9871"/>
    <cellStyle name="常规 4 3 3 2" xfId="35177"/>
    <cellStyle name="常规 4 3 3 3" xfId="35178"/>
    <cellStyle name="常规 4 3 3 4" xfId="35179"/>
    <cellStyle name="常规 4 3 3 5" xfId="35180"/>
    <cellStyle name="常规 4 3 3 6" xfId="35181"/>
    <cellStyle name="常规 4 3 3 7" xfId="35182"/>
    <cellStyle name="常规 4 3 3 8" xfId="35183"/>
    <cellStyle name="常规 4 3 3 9" xfId="35184"/>
    <cellStyle name="常规 4 3 30" xfId="35162"/>
    <cellStyle name="常规 4 3 31" xfId="35166"/>
    <cellStyle name="常规 4 3 32" xfId="35170"/>
    <cellStyle name="常规 4 3 33" xfId="35172"/>
    <cellStyle name="常规 4 3 33 2" xfId="35185"/>
    <cellStyle name="常规 4 3 33 3" xfId="35186"/>
    <cellStyle name="常规 4 3 34" xfId="35174"/>
    <cellStyle name="常规 4 3 34 2" xfId="35187"/>
    <cellStyle name="常规 4 3 34 3" xfId="35188"/>
    <cellStyle name="常规 4 3 35" xfId="35189"/>
    <cellStyle name="常规 4 3 35 2" xfId="35190"/>
    <cellStyle name="常规 4 3 35 3" xfId="35191"/>
    <cellStyle name="常规 4 3 36" xfId="35192"/>
    <cellStyle name="常规 4 3 4" xfId="35193"/>
    <cellStyle name="常规 4 3 5" xfId="35194"/>
    <cellStyle name="常规 4 3 6" xfId="35195"/>
    <cellStyle name="常规 4 3 7" xfId="35196"/>
    <cellStyle name="常规 4 3 8" xfId="35197"/>
    <cellStyle name="常规 4 3 9" xfId="35198"/>
    <cellStyle name="常规 4 30" xfId="35129"/>
    <cellStyle name="常规 4 31" xfId="35131"/>
    <cellStyle name="常规 4 32" xfId="35133"/>
    <cellStyle name="常规 4 33" xfId="35135"/>
    <cellStyle name="常规 4 34" xfId="35137"/>
    <cellStyle name="常规 4 35" xfId="35199"/>
    <cellStyle name="常规 4 36" xfId="35200"/>
    <cellStyle name="常规 4 37" xfId="17269"/>
    <cellStyle name="常规 4 4" xfId="35201"/>
    <cellStyle name="常规 4 4 2" xfId="35202"/>
    <cellStyle name="常规 4 4 3" xfId="35203"/>
    <cellStyle name="常规 4 4 4" xfId="35204"/>
    <cellStyle name="常规 4 4 5" xfId="35205"/>
    <cellStyle name="常规 4 4 6" xfId="35206"/>
    <cellStyle name="常规 4 4 7" xfId="35207"/>
    <cellStyle name="常规 4 5" xfId="33724"/>
    <cellStyle name="常规 4 5 2" xfId="33726"/>
    <cellStyle name="常规 4 6" xfId="33728"/>
    <cellStyle name="常规 4 6 2" xfId="35208"/>
    <cellStyle name="常规 4 7" xfId="33730"/>
    <cellStyle name="常规 4 7 2" xfId="35209"/>
    <cellStyle name="常规 4 8" xfId="33732"/>
    <cellStyle name="常规 4 9" xfId="33734"/>
    <cellStyle name="常规 4_1工程量清单" xfId="35210"/>
    <cellStyle name="常规 40" xfId="35061"/>
    <cellStyle name="常规 41" xfId="35063"/>
    <cellStyle name="常规 42" xfId="4268"/>
    <cellStyle name="常规 42 2" xfId="35065"/>
    <cellStyle name="常规 43" xfId="4274"/>
    <cellStyle name="常规 43 2" xfId="10052"/>
    <cellStyle name="常规 44" xfId="35070"/>
    <cellStyle name="常规 45" xfId="35211"/>
    <cellStyle name="常规 46" xfId="35213"/>
    <cellStyle name="常规 46 2" xfId="35215"/>
    <cellStyle name="常规 47" xfId="35216"/>
    <cellStyle name="常规 48" xfId="35218"/>
    <cellStyle name="常规 49" xfId="35220"/>
    <cellStyle name="常规 5" xfId="35222"/>
    <cellStyle name="常规 5 10" xfId="720"/>
    <cellStyle name="常规 5 11" xfId="455"/>
    <cellStyle name="常规 5 12" xfId="26329"/>
    <cellStyle name="常规 5 13" xfId="26332"/>
    <cellStyle name="常规 5 14" xfId="26335"/>
    <cellStyle name="常规 5 15" xfId="26339"/>
    <cellStyle name="常规 5 16" xfId="35223"/>
    <cellStyle name="常规 5 17" xfId="35225"/>
    <cellStyle name="常规 5 18" xfId="35227"/>
    <cellStyle name="常规 5 19" xfId="35229"/>
    <cellStyle name="常规 5 2" xfId="35231"/>
    <cellStyle name="常规 5 2 2" xfId="35232"/>
    <cellStyle name="常规 5 2 2 2" xfId="35233"/>
    <cellStyle name="常规 5 2 3" xfId="35234"/>
    <cellStyle name="常规 5 2 4" xfId="35235"/>
    <cellStyle name="常规 5 2 4 2" xfId="35236"/>
    <cellStyle name="常规 5 2 5" xfId="35238"/>
    <cellStyle name="常规 5 20" xfId="26338"/>
    <cellStyle name="常规 5 21" xfId="35224"/>
    <cellStyle name="常规 5 22" xfId="35226"/>
    <cellStyle name="常规 5 23" xfId="35228"/>
    <cellStyle name="常规 5 24" xfId="35230"/>
    <cellStyle name="常规 5 25" xfId="35239"/>
    <cellStyle name="常规 5 26" xfId="35240"/>
    <cellStyle name="常规 5 27" xfId="35241"/>
    <cellStyle name="常规 5 3" xfId="35242"/>
    <cellStyle name="常规 5 3 2" xfId="34314"/>
    <cellStyle name="常规 5 4" xfId="35243"/>
    <cellStyle name="常规 5 4 2" xfId="35244"/>
    <cellStyle name="常规 5 5" xfId="35245"/>
    <cellStyle name="常规 5 5 2" xfId="35246"/>
    <cellStyle name="常规 5 6" xfId="35247"/>
    <cellStyle name="常规 5 6 2" xfId="35248"/>
    <cellStyle name="常规 5 7" xfId="35249"/>
    <cellStyle name="常规 5 7 2" xfId="35250"/>
    <cellStyle name="常规 5 8" xfId="33793"/>
    <cellStyle name="常规 5 8 2" xfId="35251"/>
    <cellStyle name="常规 5 8 2 2" xfId="35252"/>
    <cellStyle name="常规 5 8 2 3" xfId="35253"/>
    <cellStyle name="常规 5 8 3" xfId="35254"/>
    <cellStyle name="常规 5 8 3 2" xfId="35255"/>
    <cellStyle name="常规 5 8 3 2 2" xfId="35256"/>
    <cellStyle name="常规 5 8 3 2 3" xfId="35257"/>
    <cellStyle name="常规 5 8 3 2 3 2" xfId="35258"/>
    <cellStyle name="常规 5 8 3 2 4" xfId="35259"/>
    <cellStyle name="常规 5 8 3 2 4 2" xfId="35260"/>
    <cellStyle name="常规 5 8 3 2 4 2 2" xfId="35261"/>
    <cellStyle name="常规 5 8 3 2 4 2 3" xfId="35262"/>
    <cellStyle name="常规 5 8 3 2 4 2 3 2" xfId="35263"/>
    <cellStyle name="常规 5 8 3 2 4 3" xfId="35264"/>
    <cellStyle name="常规 5 8 3 3" xfId="35265"/>
    <cellStyle name="常规 5 8 3 3 2" xfId="35266"/>
    <cellStyle name="常规 5 8 4" xfId="35267"/>
    <cellStyle name="常规 5 8 5" xfId="35268"/>
    <cellStyle name="常规 5 9" xfId="35269"/>
    <cellStyle name="常规 5 9 2" xfId="35270"/>
    <cellStyle name="常规 5 9 3" xfId="35271"/>
    <cellStyle name="常规 5 9 4" xfId="35272"/>
    <cellStyle name="常规 5_地库一期一标段2015.11.24" xfId="35273"/>
    <cellStyle name="常规 50" xfId="35212"/>
    <cellStyle name="常规 51" xfId="35214"/>
    <cellStyle name="常规 52" xfId="35217"/>
    <cellStyle name="常规 53" xfId="35219"/>
    <cellStyle name="常规 54" xfId="35221"/>
    <cellStyle name="常规 55" xfId="35274"/>
    <cellStyle name="常规 56" xfId="35276"/>
    <cellStyle name="常规 57" xfId="35278"/>
    <cellStyle name="常规 58" xfId="35280"/>
    <cellStyle name="常规 59" xfId="35282"/>
    <cellStyle name="常规 6" xfId="35284"/>
    <cellStyle name="常规 6 10" xfId="35285"/>
    <cellStyle name="常规 6 10 2" xfId="35286"/>
    <cellStyle name="常规 6 10 3" xfId="35287"/>
    <cellStyle name="常规 6 11" xfId="35288"/>
    <cellStyle name="常规 6 11 2" xfId="35289"/>
    <cellStyle name="常规 6 11 3" xfId="35290"/>
    <cellStyle name="常规 6 12" xfId="35291"/>
    <cellStyle name="常规 6 12 2" xfId="35292"/>
    <cellStyle name="常规 6 12 3" xfId="35293"/>
    <cellStyle name="常规 6 13" xfId="35294"/>
    <cellStyle name="常规 6 13 2" xfId="35295"/>
    <cellStyle name="常规 6 13 3" xfId="35296"/>
    <cellStyle name="常规 6 14" xfId="35297"/>
    <cellStyle name="常规 6 14 2" xfId="35298"/>
    <cellStyle name="常规 6 14 3" xfId="35299"/>
    <cellStyle name="常规 6 15" xfId="35300"/>
    <cellStyle name="常规 6 15 2" xfId="35302"/>
    <cellStyle name="常规 6 15 3" xfId="35304"/>
    <cellStyle name="常规 6 16" xfId="35306"/>
    <cellStyle name="常规 6 16 2" xfId="35308"/>
    <cellStyle name="常规 6 16 3" xfId="35310"/>
    <cellStyle name="常规 6 17" xfId="35312"/>
    <cellStyle name="常规 6 17 2" xfId="35314"/>
    <cellStyle name="常规 6 17 3" xfId="35315"/>
    <cellStyle name="常规 6 18" xfId="35316"/>
    <cellStyle name="常规 6 19" xfId="29846"/>
    <cellStyle name="常规 6 2" xfId="35318"/>
    <cellStyle name="常规 6 2 2" xfId="35319"/>
    <cellStyle name="常规 6 2 3" xfId="35320"/>
    <cellStyle name="常规 6 2 4" xfId="35321"/>
    <cellStyle name="常规 6 20" xfId="35301"/>
    <cellStyle name="常规 6 20 2" xfId="35303"/>
    <cellStyle name="常规 6 20 3" xfId="35305"/>
    <cellStyle name="常规 6 21" xfId="35307"/>
    <cellStyle name="常规 6 21 2" xfId="35309"/>
    <cellStyle name="常规 6 21 3" xfId="35311"/>
    <cellStyle name="常规 6 22" xfId="35313"/>
    <cellStyle name="常规 6 23" xfId="35317"/>
    <cellStyle name="常规 6 23 2" xfId="35322"/>
    <cellStyle name="常规 6 23 3" xfId="35323"/>
    <cellStyle name="常规 6 24" xfId="29845"/>
    <cellStyle name="常规 6 25" xfId="29854"/>
    <cellStyle name="常规 6 25 2" xfId="9091"/>
    <cellStyle name="常规 6 25 3" xfId="9095"/>
    <cellStyle name="常规 6 26" xfId="29857"/>
    <cellStyle name="常规 6 26 2" xfId="35324"/>
    <cellStyle name="常规 6 26 3" xfId="35325"/>
    <cellStyle name="常规 6 27" xfId="29860"/>
    <cellStyle name="常规 6 27 2" xfId="35326"/>
    <cellStyle name="常规 6 27 3" xfId="35328"/>
    <cellStyle name="常规 6 28" xfId="29863"/>
    <cellStyle name="常规 6 29" xfId="29866"/>
    <cellStyle name="常规 6 29 2" xfId="35330"/>
    <cellStyle name="常规 6 29 3" xfId="35331"/>
    <cellStyle name="常规 6 3" xfId="35332"/>
    <cellStyle name="常规 6 3 10" xfId="35333"/>
    <cellStyle name="常规 6 3 2" xfId="35334"/>
    <cellStyle name="常规 6 3 3" xfId="35335"/>
    <cellStyle name="常规 6 3 4" xfId="35336"/>
    <cellStyle name="常规 6 3 5" xfId="35337"/>
    <cellStyle name="常规 6 3 6" xfId="35338"/>
    <cellStyle name="常规 6 3 7" xfId="35339"/>
    <cellStyle name="常规 6 3 8" xfId="35340"/>
    <cellStyle name="常规 6 3 9" xfId="35341"/>
    <cellStyle name="常规 6 30" xfId="29853"/>
    <cellStyle name="常规 6 31" xfId="29856"/>
    <cellStyle name="常规 6 32" xfId="29859"/>
    <cellStyle name="常规 6 32 2" xfId="35327"/>
    <cellStyle name="常规 6 32 3" xfId="35329"/>
    <cellStyle name="常规 6 33" xfId="29862"/>
    <cellStyle name="常规 6 33 2" xfId="35342"/>
    <cellStyle name="常规 6 33 3" xfId="35343"/>
    <cellStyle name="常规 6 34" xfId="29865"/>
    <cellStyle name="常规 6 35" xfId="29869"/>
    <cellStyle name="常规 6 36" xfId="29872"/>
    <cellStyle name="常规 6 36 2" xfId="35344"/>
    <cellStyle name="常规 6 36 3" xfId="35346"/>
    <cellStyle name="常规 6 37" xfId="31148"/>
    <cellStyle name="常规 6 37 2" xfId="34992"/>
    <cellStyle name="常规 6 37 3" xfId="35348"/>
    <cellStyle name="常规 6 38" xfId="35350"/>
    <cellStyle name="常规 6 38 2" xfId="35352"/>
    <cellStyle name="常规 6 38 3" xfId="35354"/>
    <cellStyle name="常规 6 39" xfId="35356"/>
    <cellStyle name="常规 6 39 2" xfId="35358"/>
    <cellStyle name="常规 6 39 3" xfId="35360"/>
    <cellStyle name="常规 6 4" xfId="35362"/>
    <cellStyle name="常规 6 4 10" xfId="35363"/>
    <cellStyle name="常规 6 4 11" xfId="35364"/>
    <cellStyle name="常规 6 4 12" xfId="35365"/>
    <cellStyle name="常规 6 4 2" xfId="35366"/>
    <cellStyle name="常规 6 4 3" xfId="35367"/>
    <cellStyle name="常规 6 4 4" xfId="35368"/>
    <cellStyle name="常规 6 4 5" xfId="35369"/>
    <cellStyle name="常规 6 4 6" xfId="35370"/>
    <cellStyle name="常规 6 4 7" xfId="35371"/>
    <cellStyle name="常规 6 4 8" xfId="35372"/>
    <cellStyle name="常规 6 4 9" xfId="35373"/>
    <cellStyle name="常规 6 40" xfId="29868"/>
    <cellStyle name="常规 6 40 2" xfId="35374"/>
    <cellStyle name="常规 6 40 3" xfId="35375"/>
    <cellStyle name="常规 6 41" xfId="29871"/>
    <cellStyle name="常规 6 41 2" xfId="35345"/>
    <cellStyle name="常规 6 41 3" xfId="35347"/>
    <cellStyle name="常规 6 42" xfId="31147"/>
    <cellStyle name="常规 6 42 2" xfId="34993"/>
    <cellStyle name="常规 6 42 3" xfId="35349"/>
    <cellStyle name="常规 6 43" xfId="35351"/>
    <cellStyle name="常规 6 43 2" xfId="35353"/>
    <cellStyle name="常规 6 43 3" xfId="35355"/>
    <cellStyle name="常规 6 44" xfId="35357"/>
    <cellStyle name="常规 6 44 2" xfId="35359"/>
    <cellStyle name="常规 6 44 3" xfId="35361"/>
    <cellStyle name="常规 6 45" xfId="35376"/>
    <cellStyle name="常规 6 46" xfId="35378"/>
    <cellStyle name="常规 6 47" xfId="35380"/>
    <cellStyle name="常规 6 48" xfId="35382"/>
    <cellStyle name="常规 6 48 2" xfId="35384"/>
    <cellStyle name="常规 6 48 3" xfId="35386"/>
    <cellStyle name="常规 6 49" xfId="35388"/>
    <cellStyle name="常规 6 49 2" xfId="35390"/>
    <cellStyle name="常规 6 49 3" xfId="35392"/>
    <cellStyle name="常规 6 5" xfId="35394"/>
    <cellStyle name="常规 6 5 2" xfId="35395"/>
    <cellStyle name="常规 6 5 3" xfId="35396"/>
    <cellStyle name="常规 6 50" xfId="35377"/>
    <cellStyle name="常规 6 51" xfId="35379"/>
    <cellStyle name="常规 6 51 2" xfId="35397"/>
    <cellStyle name="常规 6 51 3" xfId="35398"/>
    <cellStyle name="常规 6 52" xfId="35381"/>
    <cellStyle name="常规 6 53" xfId="35383"/>
    <cellStyle name="常规 6 53 2" xfId="35385"/>
    <cellStyle name="常规 6 53 3" xfId="35387"/>
    <cellStyle name="常规 6 54" xfId="35389"/>
    <cellStyle name="常规 6 54 2" xfId="35391"/>
    <cellStyle name="常规 6 54 3" xfId="35393"/>
    <cellStyle name="常规 6 55" xfId="35399"/>
    <cellStyle name="常规 6 55 2" xfId="35401"/>
    <cellStyle name="常规 6 55 3" xfId="35402"/>
    <cellStyle name="常规 6 56" xfId="35403"/>
    <cellStyle name="常规 6 56 2" xfId="35405"/>
    <cellStyle name="常规 6 56 3" xfId="35406"/>
    <cellStyle name="常规 6 57" xfId="35407"/>
    <cellStyle name="常规 6 57 2" xfId="35409"/>
    <cellStyle name="常规 6 57 3" xfId="35410"/>
    <cellStyle name="常规 6 58" xfId="35411"/>
    <cellStyle name="常规 6 58 2" xfId="35413"/>
    <cellStyle name="常规 6 58 3" xfId="35414"/>
    <cellStyle name="常规 6 59" xfId="35415"/>
    <cellStyle name="常规 6 59 2" xfId="35417"/>
    <cellStyle name="常规 6 59 3" xfId="35418"/>
    <cellStyle name="常规 6 6" xfId="35419"/>
    <cellStyle name="常规 6 6 2" xfId="35420"/>
    <cellStyle name="常规 6 6 3" xfId="35421"/>
    <cellStyle name="常规 6 60" xfId="35400"/>
    <cellStyle name="常规 6 61" xfId="35404"/>
    <cellStyle name="常规 6 62" xfId="35408"/>
    <cellStyle name="常规 6 63" xfId="35412"/>
    <cellStyle name="常规 6 64" xfId="35416"/>
    <cellStyle name="常规 6 65" xfId="35422"/>
    <cellStyle name="常规 6 66" xfId="35424"/>
    <cellStyle name="常规 6 66 2" xfId="35426"/>
    <cellStyle name="常规 6 66 3" xfId="35427"/>
    <cellStyle name="常规 6 67" xfId="35428"/>
    <cellStyle name="常规 6 67 2" xfId="35429"/>
    <cellStyle name="常规 6 67 3" xfId="35430"/>
    <cellStyle name="常规 6 68" xfId="35431"/>
    <cellStyle name="常规 6 68 2" xfId="35432"/>
    <cellStyle name="常规 6 68 3" xfId="35433"/>
    <cellStyle name="常规 6 69" xfId="29875"/>
    <cellStyle name="常规 6 7" xfId="35434"/>
    <cellStyle name="常规 6 70" xfId="35423"/>
    <cellStyle name="常规 6 71" xfId="35425"/>
    <cellStyle name="常规 6 8" xfId="35435"/>
    <cellStyle name="常规 6 9" xfId="35436"/>
    <cellStyle name="常规 6_报调整后府清清单报价澄清二20120419下午" xfId="35437"/>
    <cellStyle name="常规 60" xfId="35275"/>
    <cellStyle name="常规 61" xfId="35277"/>
    <cellStyle name="常规 62" xfId="35279"/>
    <cellStyle name="常规 63" xfId="35281"/>
    <cellStyle name="常规 64" xfId="35283"/>
    <cellStyle name="常规 65" xfId="35438"/>
    <cellStyle name="常规 66" xfId="35440"/>
    <cellStyle name="常规 67" xfId="35442"/>
    <cellStyle name="常规 68" xfId="35444"/>
    <cellStyle name="常规 69" xfId="35446"/>
    <cellStyle name="常规 7" xfId="35448"/>
    <cellStyle name="常规 7 2" xfId="35449"/>
    <cellStyle name="常规 7 2 2" xfId="35450"/>
    <cellStyle name="常规 7 2 3" xfId="35451"/>
    <cellStyle name="常规 7 3" xfId="35452"/>
    <cellStyle name="常规 7 4" xfId="35453"/>
    <cellStyle name="常规 7 5" xfId="35454"/>
    <cellStyle name="常规 7 6" xfId="35455"/>
    <cellStyle name="常规 7 7" xfId="35456"/>
    <cellStyle name="常规 7 8" xfId="35457"/>
    <cellStyle name="常规 7_20110613与20120724两稿对比" xfId="35458"/>
    <cellStyle name="常规 70" xfId="35439"/>
    <cellStyle name="常规 71" xfId="35441"/>
    <cellStyle name="常规 72" xfId="35443"/>
    <cellStyle name="常规 73" xfId="35445"/>
    <cellStyle name="常规 74" xfId="35447"/>
    <cellStyle name="常规 75" xfId="35459"/>
    <cellStyle name="常规 76" xfId="35461"/>
    <cellStyle name="常规 77" xfId="35463"/>
    <cellStyle name="常规 78" xfId="35465"/>
    <cellStyle name="常规 78 2" xfId="31571"/>
    <cellStyle name="常规 79" xfId="35467"/>
    <cellStyle name="常规 79 2" xfId="35469"/>
    <cellStyle name="常规 8" xfId="35470"/>
    <cellStyle name="常规 8 10" xfId="35471"/>
    <cellStyle name="常规 8 11" xfId="35472"/>
    <cellStyle name="常规 8 12" xfId="35473"/>
    <cellStyle name="常规 8 2" xfId="35474"/>
    <cellStyle name="常规 8 2 10" xfId="35475"/>
    <cellStyle name="常规 8 2 2" xfId="35476"/>
    <cellStyle name="常规 8 2 3" xfId="35477"/>
    <cellStyle name="常规 8 2 4" xfId="35478"/>
    <cellStyle name="常规 8 2 5" xfId="35479"/>
    <cellStyle name="常规 8 2 6" xfId="35480"/>
    <cellStyle name="常规 8 2 7" xfId="35481"/>
    <cellStyle name="常规 8 2 8" xfId="35482"/>
    <cellStyle name="常规 8 2 9" xfId="35483"/>
    <cellStyle name="常规 8 3" xfId="35484"/>
    <cellStyle name="常规 8 4" xfId="35485"/>
    <cellStyle name="常规 8 5" xfId="35486"/>
    <cellStyle name="常规 8 6" xfId="35487"/>
    <cellStyle name="常规 8 7" xfId="35488"/>
    <cellStyle name="常规 8 8" xfId="35489"/>
    <cellStyle name="常规 8 9" xfId="35490"/>
    <cellStyle name="常规 80" xfId="35460"/>
    <cellStyle name="常规 81" xfId="35462"/>
    <cellStyle name="常规 81 2" xfId="35491"/>
    <cellStyle name="常规 82" xfId="35464"/>
    <cellStyle name="常规 83" xfId="35466"/>
    <cellStyle name="常规 84" xfId="35468"/>
    <cellStyle name="常规 85" xfId="35492"/>
    <cellStyle name="常规 89" xfId="35494"/>
    <cellStyle name="常规 9" xfId="35496"/>
    <cellStyle name="常规 9 10" xfId="23846"/>
    <cellStyle name="常规 9 2" xfId="35497"/>
    <cellStyle name="常规 9 3" xfId="35498"/>
    <cellStyle name="常规 9 4" xfId="35499"/>
    <cellStyle name="常规 9 5" xfId="35500"/>
    <cellStyle name="常规 9 6" xfId="35501"/>
    <cellStyle name="常规 9 7" xfId="35502"/>
    <cellStyle name="常规 9 8" xfId="35503"/>
    <cellStyle name="常规 9 9" xfId="35504"/>
    <cellStyle name="常规 90" xfId="35493"/>
    <cellStyle name="常规 93" xfId="4284"/>
    <cellStyle name="常规 94" xfId="35495"/>
    <cellStyle name="常规 95" xfId="35505"/>
    <cellStyle name="常规 96" xfId="35506"/>
    <cellStyle name="常规 97" xfId="35507"/>
    <cellStyle name="常规 98" xfId="35508"/>
    <cellStyle name="常规 99" xfId="35509"/>
    <cellStyle name="常规(小)" xfId="35510"/>
    <cellStyle name="常规(小) 10" xfId="35511"/>
    <cellStyle name="常规(小) 10 10" xfId="35512"/>
    <cellStyle name="常规(小) 10 2" xfId="33893"/>
    <cellStyle name="常规(小) 10 2 2" xfId="2704"/>
    <cellStyle name="常规(小) 10 2 3" xfId="4143"/>
    <cellStyle name="常规(小) 10 2 4" xfId="4150"/>
    <cellStyle name="常规(小) 10 2 5" xfId="4159"/>
    <cellStyle name="常规(小) 10 2 6" xfId="4168"/>
    <cellStyle name="常规(小) 10 2 7" xfId="4174"/>
    <cellStyle name="常规(小) 10 2 8" xfId="3300"/>
    <cellStyle name="常规(小) 10 3" xfId="35513"/>
    <cellStyle name="常规(小) 10 3 2" xfId="35514"/>
    <cellStyle name="常规(小) 10 3 3" xfId="35515"/>
    <cellStyle name="常规(小) 10 3 4" xfId="35516"/>
    <cellStyle name="常规(小) 10 3 5" xfId="35517"/>
    <cellStyle name="常规(小) 10 3 6" xfId="35518"/>
    <cellStyle name="常规(小) 10 3 7" xfId="35519"/>
    <cellStyle name="常规(小) 10 3 8" xfId="35520"/>
    <cellStyle name="常规(小) 10 4" xfId="35521"/>
    <cellStyle name="常规(小) 10 5" xfId="35522"/>
    <cellStyle name="常规(小) 10 6" xfId="35523"/>
    <cellStyle name="常规(小) 10 7" xfId="35524"/>
    <cellStyle name="常规(小) 10 8" xfId="35525"/>
    <cellStyle name="常规(小) 10 9" xfId="35526"/>
    <cellStyle name="常规(小) 11" xfId="35527"/>
    <cellStyle name="常规(小) 11 10" xfId="35528"/>
    <cellStyle name="常规(小) 11 2" xfId="35529"/>
    <cellStyle name="常规(小) 11 2 2" xfId="35530"/>
    <cellStyle name="常规(小) 11 2 3" xfId="19611"/>
    <cellStyle name="常规(小) 11 2 4" xfId="19615"/>
    <cellStyle name="常规(小) 11 2 5" xfId="19619"/>
    <cellStyle name="常规(小) 11 2 6" xfId="19623"/>
    <cellStyle name="常规(小) 11 2 7" xfId="19627"/>
    <cellStyle name="常规(小) 11 2 8" xfId="19629"/>
    <cellStyle name="常规(小) 11 3" xfId="35237"/>
    <cellStyle name="常规(小) 11 3 2" xfId="35531"/>
    <cellStyle name="常规(小) 11 3 3" xfId="35532"/>
    <cellStyle name="常规(小) 11 3 4" xfId="35533"/>
    <cellStyle name="常规(小) 11 3 5" xfId="35534"/>
    <cellStyle name="常规(小) 11 3 6" xfId="35535"/>
    <cellStyle name="常规(小) 11 3 7" xfId="35536"/>
    <cellStyle name="常规(小) 11 3 8" xfId="35537"/>
    <cellStyle name="常规(小) 11 4" xfId="35538"/>
    <cellStyle name="常规(小) 11 5" xfId="35539"/>
    <cellStyle name="常规(小) 11 6" xfId="35540"/>
    <cellStyle name="常规(小) 11 7" xfId="35541"/>
    <cellStyle name="常规(小) 11 8" xfId="35542"/>
    <cellStyle name="常规(小) 11 9" xfId="35543"/>
    <cellStyle name="常规(小) 12" xfId="35544"/>
    <cellStyle name="常规(小) 12 10" xfId="35545"/>
    <cellStyle name="常规(小) 12 2" xfId="35546"/>
    <cellStyle name="常规(小) 12 2 2" xfId="35547"/>
    <cellStyle name="常规(小) 12 2 3" xfId="19644"/>
    <cellStyle name="常规(小) 12 2 4" xfId="19648"/>
    <cellStyle name="常规(小) 12 2 5" xfId="19652"/>
    <cellStyle name="常规(小) 12 2 6" xfId="19656"/>
    <cellStyle name="常规(小) 12 2 7" xfId="19660"/>
    <cellStyle name="常规(小) 12 2 8" xfId="19662"/>
    <cellStyle name="常规(小) 12 3" xfId="35548"/>
    <cellStyle name="常规(小) 12 3 2" xfId="35549"/>
    <cellStyle name="常规(小) 12 3 3" xfId="35550"/>
    <cellStyle name="常规(小) 12 3 4" xfId="35551"/>
    <cellStyle name="常规(小) 12 3 5" xfId="35552"/>
    <cellStyle name="常规(小) 12 3 6" xfId="35553"/>
    <cellStyle name="常规(小) 12 3 7" xfId="35554"/>
    <cellStyle name="常规(小) 12 3 8" xfId="35555"/>
    <cellStyle name="常规(小) 12 4" xfId="35556"/>
    <cellStyle name="常规(小) 12 5" xfId="35557"/>
    <cellStyle name="常规(小) 12 6" xfId="35558"/>
    <cellStyle name="常规(小) 12 7" xfId="35559"/>
    <cellStyle name="常规(小) 12 8" xfId="35560"/>
    <cellStyle name="常规(小) 12 9" xfId="35561"/>
    <cellStyle name="常规(小) 13" xfId="35562"/>
    <cellStyle name="常规(小) 13 10" xfId="35563"/>
    <cellStyle name="常规(小) 13 2" xfId="5562"/>
    <cellStyle name="常规(小) 13 2 2" xfId="35564"/>
    <cellStyle name="常规(小) 13 2 3" xfId="19687"/>
    <cellStyle name="常规(小) 13 2 4" xfId="19692"/>
    <cellStyle name="常规(小) 13 2 5" xfId="19697"/>
    <cellStyle name="常规(小) 13 2 6" xfId="19702"/>
    <cellStyle name="常规(小) 13 2 7" xfId="19707"/>
    <cellStyle name="常规(小) 13 2 8" xfId="19710"/>
    <cellStyle name="常规(小) 13 3" xfId="5570"/>
    <cellStyle name="常规(小) 13 3 2" xfId="35565"/>
    <cellStyle name="常规(小) 13 3 3" xfId="35566"/>
    <cellStyle name="常规(小) 13 3 4" xfId="35567"/>
    <cellStyle name="常规(小) 13 3 5" xfId="35568"/>
    <cellStyle name="常规(小) 13 3 6" xfId="35569"/>
    <cellStyle name="常规(小) 13 3 7" xfId="35570"/>
    <cellStyle name="常规(小) 13 3 8" xfId="35571"/>
    <cellStyle name="常规(小) 13 4" xfId="35572"/>
    <cellStyle name="常规(小) 13 5" xfId="35573"/>
    <cellStyle name="常规(小) 13 6" xfId="35574"/>
    <cellStyle name="常规(小) 13 7" xfId="35575"/>
    <cellStyle name="常规(小) 13 8" xfId="35576"/>
    <cellStyle name="常规(小) 13 9" xfId="35577"/>
    <cellStyle name="常规(小) 14" xfId="35578"/>
    <cellStyle name="常规(小) 14 10" xfId="34123"/>
    <cellStyle name="常规(小) 14 2" xfId="35579"/>
    <cellStyle name="常规(小) 14 2 2" xfId="35580"/>
    <cellStyle name="常规(小) 14 2 3" xfId="19739"/>
    <cellStyle name="常规(小) 14 2 4" xfId="19744"/>
    <cellStyle name="常规(小) 14 2 5" xfId="19749"/>
    <cellStyle name="常规(小) 14 2 6" xfId="19754"/>
    <cellStyle name="常规(小) 14 2 7" xfId="19759"/>
    <cellStyle name="常规(小) 14 2 8" xfId="19762"/>
    <cellStyle name="常规(小) 14 3" xfId="35581"/>
    <cellStyle name="常规(小) 14 3 2" xfId="35582"/>
    <cellStyle name="常规(小) 14 3 3" xfId="35583"/>
    <cellStyle name="常规(小) 14 3 4" xfId="35584"/>
    <cellStyle name="常规(小) 14 3 5" xfId="35585"/>
    <cellStyle name="常规(小) 14 3 6" xfId="35586"/>
    <cellStyle name="常规(小) 14 3 7" xfId="35587"/>
    <cellStyle name="常规(小) 14 3 8" xfId="35588"/>
    <cellStyle name="常规(小) 14 4" xfId="35589"/>
    <cellStyle name="常规(小) 14 5" xfId="35590"/>
    <cellStyle name="常规(小) 14 6" xfId="35591"/>
    <cellStyle name="常规(小) 14 7" xfId="35592"/>
    <cellStyle name="常规(小) 14 8" xfId="35593"/>
    <cellStyle name="常规(小) 14 9" xfId="35594"/>
    <cellStyle name="常规(小) 15" xfId="35595"/>
    <cellStyle name="常规(小) 15 10" xfId="34276"/>
    <cellStyle name="常规(小) 15 2" xfId="34186"/>
    <cellStyle name="常规(小) 15 2 2" xfId="34189"/>
    <cellStyle name="常规(小) 15 2 3" xfId="19789"/>
    <cellStyle name="常规(小) 15 2 4" xfId="19797"/>
    <cellStyle name="常规(小) 15 2 5" xfId="19804"/>
    <cellStyle name="常规(小) 15 2 6" xfId="19811"/>
    <cellStyle name="常规(小) 15 2 7" xfId="19818"/>
    <cellStyle name="常规(小) 15 2 8" xfId="19822"/>
    <cellStyle name="常规(小) 15 3" xfId="34193"/>
    <cellStyle name="常规(小) 15 3 2" xfId="35597"/>
    <cellStyle name="常规(小) 15 3 3" xfId="35599"/>
    <cellStyle name="常规(小) 15 3 4" xfId="35601"/>
    <cellStyle name="常规(小) 15 3 5" xfId="35603"/>
    <cellStyle name="常规(小) 15 3 6" xfId="35605"/>
    <cellStyle name="常规(小) 15 3 7" xfId="35607"/>
    <cellStyle name="常规(小) 15 3 8" xfId="35609"/>
    <cellStyle name="常规(小) 15 4" xfId="34197"/>
    <cellStyle name="常规(小) 15 5" xfId="34201"/>
    <cellStyle name="常规(小) 15 6" xfId="34223"/>
    <cellStyle name="常规(小) 15 7" xfId="34226"/>
    <cellStyle name="常规(小) 15 8" xfId="35611"/>
    <cellStyle name="常规(小) 15 9" xfId="35613"/>
    <cellStyle name="常规(小) 16" xfId="35615"/>
    <cellStyle name="常规(小) 16 10" xfId="35617"/>
    <cellStyle name="常规(小) 16 2" xfId="35619"/>
    <cellStyle name="常规(小) 16 2 2" xfId="35621"/>
    <cellStyle name="常规(小) 16 2 3" xfId="19850"/>
    <cellStyle name="常规(小) 16 2 4" xfId="19857"/>
    <cellStyle name="常规(小) 16 2 5" xfId="19864"/>
    <cellStyle name="常规(小) 16 2 6" xfId="19871"/>
    <cellStyle name="常规(小) 16 2 7" xfId="19878"/>
    <cellStyle name="常规(小) 16 2 8" xfId="19882"/>
    <cellStyle name="常规(小) 16 3" xfId="35623"/>
    <cellStyle name="常规(小) 16 3 2" xfId="35625"/>
    <cellStyle name="常规(小) 16 3 3" xfId="35627"/>
    <cellStyle name="常规(小) 16 3 4" xfId="35629"/>
    <cellStyle name="常规(小) 16 3 5" xfId="35631"/>
    <cellStyle name="常规(小) 16 3 6" xfId="35633"/>
    <cellStyle name="常规(小) 16 3 7" xfId="35635"/>
    <cellStyle name="常规(小) 16 3 8" xfId="35637"/>
    <cellStyle name="常规(小) 16 4" xfId="35639"/>
    <cellStyle name="常规(小) 16 5" xfId="35641"/>
    <cellStyle name="常规(小) 16 6" xfId="35643"/>
    <cellStyle name="常规(小) 16 7" xfId="35645"/>
    <cellStyle name="常规(小) 16 8" xfId="35647"/>
    <cellStyle name="常规(小) 16 9" xfId="35649"/>
    <cellStyle name="常规(小) 17" xfId="35651"/>
    <cellStyle name="常规(小) 17 10" xfId="35653"/>
    <cellStyle name="常规(小) 17 2" xfId="35655"/>
    <cellStyle name="常规(小) 17 2 2" xfId="35657"/>
    <cellStyle name="常规(小) 17 2 3" xfId="14016"/>
    <cellStyle name="常规(小) 17 2 4" xfId="14047"/>
    <cellStyle name="常规(小) 17 2 5" xfId="14079"/>
    <cellStyle name="常规(小) 17 2 6" xfId="14088"/>
    <cellStyle name="常规(小) 17 2 7" xfId="14097"/>
    <cellStyle name="常规(小) 17 2 8" xfId="14103"/>
    <cellStyle name="常规(小) 17 3" xfId="35659"/>
    <cellStyle name="常规(小) 17 3 2" xfId="35661"/>
    <cellStyle name="常规(小) 17 3 3" xfId="14148"/>
    <cellStyle name="常规(小) 17 3 4" xfId="14176"/>
    <cellStyle name="常规(小) 17 3 5" xfId="14212"/>
    <cellStyle name="常规(小) 17 3 6" xfId="14218"/>
    <cellStyle name="常规(小) 17 3 7" xfId="14224"/>
    <cellStyle name="常规(小) 17 3 8" xfId="14228"/>
    <cellStyle name="常规(小) 17 4" xfId="35663"/>
    <cellStyle name="常规(小) 17 5" xfId="35665"/>
    <cellStyle name="常规(小) 17 6" xfId="35667"/>
    <cellStyle name="常规(小) 17 7" xfId="35669"/>
    <cellStyle name="常规(小) 17 8" xfId="35671"/>
    <cellStyle name="常规(小) 17 9" xfId="35673"/>
    <cellStyle name="常规(小) 18" xfId="35675"/>
    <cellStyle name="常规(小) 18 10" xfId="35677"/>
    <cellStyle name="常规(小) 18 2" xfId="5591"/>
    <cellStyle name="常规(小) 18 2 2" xfId="35679"/>
    <cellStyle name="常规(小) 18 2 3" xfId="21402"/>
    <cellStyle name="常规(小) 18 2 4" xfId="21409"/>
    <cellStyle name="常规(小) 18 2 5" xfId="21416"/>
    <cellStyle name="常规(小) 18 2 6" xfId="21423"/>
    <cellStyle name="常规(小) 18 2 7" xfId="21430"/>
    <cellStyle name="常规(小) 18 2 8" xfId="21434"/>
    <cellStyle name="常规(小) 18 3" xfId="5602"/>
    <cellStyle name="常规(小) 18 3 2" xfId="35681"/>
    <cellStyle name="常规(小) 18 3 3" xfId="35683"/>
    <cellStyle name="常规(小) 18 3 4" xfId="35685"/>
    <cellStyle name="常规(小) 18 3 5" xfId="35687"/>
    <cellStyle name="常规(小) 18 3 6" xfId="35689"/>
    <cellStyle name="常规(小) 18 3 7" xfId="35691"/>
    <cellStyle name="常规(小) 18 3 8" xfId="35693"/>
    <cellStyle name="常规(小) 18 4" xfId="5606"/>
    <cellStyle name="常规(小) 18 5" xfId="35695"/>
    <cellStyle name="常规(小) 18 6" xfId="35697"/>
    <cellStyle name="常规(小) 18 7" xfId="35699"/>
    <cellStyle name="常规(小) 18 8" xfId="35701"/>
    <cellStyle name="常规(小) 18 9" xfId="35703"/>
    <cellStyle name="常规(小) 19" xfId="35705"/>
    <cellStyle name="常规(小) 19 10" xfId="35707"/>
    <cellStyle name="常规(小) 19 2" xfId="35709"/>
    <cellStyle name="常规(小) 19 2 2" xfId="35711"/>
    <cellStyle name="常规(小) 19 2 3" xfId="21472"/>
    <cellStyle name="常规(小) 19 2 4" xfId="21479"/>
    <cellStyle name="常规(小) 19 2 5" xfId="21486"/>
    <cellStyle name="常规(小) 19 2 6" xfId="21493"/>
    <cellStyle name="常规(小) 19 2 7" xfId="21500"/>
    <cellStyle name="常规(小) 19 2 8" xfId="21504"/>
    <cellStyle name="常规(小) 19 3" xfId="35713"/>
    <cellStyle name="常规(小) 19 3 2" xfId="35715"/>
    <cellStyle name="常规(小) 19 3 3" xfId="35717"/>
    <cellStyle name="常规(小) 19 3 4" xfId="35719"/>
    <cellStyle name="常规(小) 19 3 5" xfId="35721"/>
    <cellStyle name="常规(小) 19 3 6" xfId="35723"/>
    <cellStyle name="常规(小) 19 3 7" xfId="35725"/>
    <cellStyle name="常规(小) 19 3 8" xfId="35727"/>
    <cellStyle name="常规(小) 19 4" xfId="35729"/>
    <cellStyle name="常规(小) 19 5" xfId="35731"/>
    <cellStyle name="常规(小) 19 6" xfId="35733"/>
    <cellStyle name="常规(小) 19 7" xfId="35735"/>
    <cellStyle name="常规(小) 19 8" xfId="35737"/>
    <cellStyle name="常规(小) 19 9" xfId="35739"/>
    <cellStyle name="常规(小) 2" xfId="35741"/>
    <cellStyle name="常规(小) 2 10" xfId="35742"/>
    <cellStyle name="常规(小) 2 10 10" xfId="35743"/>
    <cellStyle name="常规(小) 2 10 2" xfId="35744"/>
    <cellStyle name="常规(小) 2 10 2 2" xfId="35745"/>
    <cellStyle name="常规(小) 2 10 2 3" xfId="35746"/>
    <cellStyle name="常规(小) 2 10 2 4" xfId="35747"/>
    <cellStyle name="常规(小) 2 10 2 5" xfId="35748"/>
    <cellStyle name="常规(小) 2 10 2 6" xfId="35749"/>
    <cellStyle name="常规(小) 2 10 2 7" xfId="35750"/>
    <cellStyle name="常规(小) 2 10 2 8" xfId="35751"/>
    <cellStyle name="常规(小) 2 10 3" xfId="35752"/>
    <cellStyle name="常规(小) 2 10 3 2" xfId="35753"/>
    <cellStyle name="常规(小) 2 10 3 3" xfId="35754"/>
    <cellStyle name="常规(小) 2 10 3 4" xfId="35755"/>
    <cellStyle name="常规(小) 2 10 3 5" xfId="35756"/>
    <cellStyle name="常规(小) 2 10 3 6" xfId="35757"/>
    <cellStyle name="常规(小) 2 10 3 7" xfId="35758"/>
    <cellStyle name="常规(小) 2 10 3 8" xfId="35759"/>
    <cellStyle name="常规(小) 2 10 4" xfId="35760"/>
    <cellStyle name="常规(小) 2 10 5" xfId="35761"/>
    <cellStyle name="常规(小) 2 10 6" xfId="8339"/>
    <cellStyle name="常规(小) 2 10 7" xfId="8343"/>
    <cellStyle name="常规(小) 2 10 8" xfId="35762"/>
    <cellStyle name="常规(小) 2 10 9" xfId="35763"/>
    <cellStyle name="常规(小) 2 11" xfId="35764"/>
    <cellStyle name="常规(小) 2 11 10" xfId="35765"/>
    <cellStyle name="常规(小) 2 11 2" xfId="35766"/>
    <cellStyle name="常规(小) 2 11 2 2" xfId="35767"/>
    <cellStyle name="常规(小) 2 11 2 3" xfId="35768"/>
    <cellStyle name="常规(小) 2 11 2 4" xfId="35769"/>
    <cellStyle name="常规(小) 2 11 2 5" xfId="35770"/>
    <cellStyle name="常规(小) 2 11 2 6" xfId="35771"/>
    <cellStyle name="常规(小) 2 11 2 7" xfId="35772"/>
    <cellStyle name="常规(小) 2 11 2 8" xfId="35773"/>
    <cellStyle name="常规(小) 2 11 3" xfId="35774"/>
    <cellStyle name="常规(小) 2 11 3 2" xfId="35775"/>
    <cellStyle name="常规(小) 2 11 3 3" xfId="35776"/>
    <cellStyle name="常规(小) 2 11 3 4" xfId="35777"/>
    <cellStyle name="常规(小) 2 11 3 5" xfId="35778"/>
    <cellStyle name="常规(小) 2 11 3 6" xfId="35779"/>
    <cellStyle name="常规(小) 2 11 3 7" xfId="35780"/>
    <cellStyle name="常规(小) 2 11 3 8" xfId="35781"/>
    <cellStyle name="常规(小) 2 11 4" xfId="35782"/>
    <cellStyle name="常规(小) 2 11 5" xfId="35783"/>
    <cellStyle name="常规(小) 2 11 6" xfId="8348"/>
    <cellStyle name="常规(小) 2 11 7" xfId="8352"/>
    <cellStyle name="常规(小) 2 11 8" xfId="35784"/>
    <cellStyle name="常规(小) 2 11 9" xfId="35785"/>
    <cellStyle name="常规(小) 2 12" xfId="35786"/>
    <cellStyle name="常规(小) 2 12 10" xfId="35787"/>
    <cellStyle name="常规(小) 2 12 2" xfId="35788"/>
    <cellStyle name="常规(小) 2 12 2 2" xfId="35789"/>
    <cellStyle name="常规(小) 2 12 2 3" xfId="35790"/>
    <cellStyle name="常规(小) 2 12 2 4" xfId="35791"/>
    <cellStyle name="常规(小) 2 12 2 5" xfId="35792"/>
    <cellStyle name="常规(小) 2 12 2 6" xfId="35793"/>
    <cellStyle name="常规(小) 2 12 2 7" xfId="35794"/>
    <cellStyle name="常规(小) 2 12 2 8" xfId="35795"/>
    <cellStyle name="常规(小) 2 12 3" xfId="35796"/>
    <cellStyle name="常规(小) 2 12 3 2" xfId="35797"/>
    <cellStyle name="常规(小) 2 12 3 3" xfId="35798"/>
    <cellStyle name="常规(小) 2 12 3 4" xfId="35799"/>
    <cellStyle name="常规(小) 2 12 3 5" xfId="35800"/>
    <cellStyle name="常规(小) 2 12 3 6" xfId="35801"/>
    <cellStyle name="常规(小) 2 12 3 7" xfId="35802"/>
    <cellStyle name="常规(小) 2 12 3 8" xfId="35803"/>
    <cellStyle name="常规(小) 2 12 4" xfId="35804"/>
    <cellStyle name="常规(小) 2 12 5" xfId="35805"/>
    <cellStyle name="常规(小) 2 12 6" xfId="35806"/>
    <cellStyle name="常规(小) 2 12 7" xfId="35807"/>
    <cellStyle name="常规(小) 2 12 8" xfId="35808"/>
    <cellStyle name="常规(小) 2 12 9" xfId="35809"/>
    <cellStyle name="常规(小) 2 13" xfId="35810"/>
    <cellStyle name="常规(小) 2 13 10" xfId="35811"/>
    <cellStyle name="常规(小) 2 13 2" xfId="35812"/>
    <cellStyle name="常规(小) 2 13 2 2" xfId="35813"/>
    <cellStyle name="常规(小) 2 13 2 3" xfId="35814"/>
    <cellStyle name="常规(小) 2 13 2 4" xfId="35815"/>
    <cellStyle name="常规(小) 2 13 2 5" xfId="35816"/>
    <cellStyle name="常规(小) 2 13 2 6" xfId="35817"/>
    <cellStyle name="常规(小) 2 13 2 7" xfId="35818"/>
    <cellStyle name="常规(小) 2 13 2 8" xfId="35819"/>
    <cellStyle name="常规(小) 2 13 3" xfId="35820"/>
    <cellStyle name="常规(小) 2 13 3 2" xfId="35821"/>
    <cellStyle name="常规(小) 2 13 3 3" xfId="35822"/>
    <cellStyle name="常规(小) 2 13 3 4" xfId="35823"/>
    <cellStyle name="常规(小) 2 13 3 5" xfId="35824"/>
    <cellStyle name="常规(小) 2 13 3 6" xfId="35825"/>
    <cellStyle name="常规(小) 2 13 3 7" xfId="35826"/>
    <cellStyle name="常规(小) 2 13 3 8" xfId="35827"/>
    <cellStyle name="常规(小) 2 13 4" xfId="35828"/>
    <cellStyle name="常规(小) 2 13 5" xfId="35829"/>
    <cellStyle name="常规(小) 2 13 6" xfId="35830"/>
    <cellStyle name="常规(小) 2 13 7" xfId="35831"/>
    <cellStyle name="常规(小) 2 13 8" xfId="35832"/>
    <cellStyle name="常规(小) 2 13 9" xfId="35833"/>
    <cellStyle name="常规(小) 2 14" xfId="35834"/>
    <cellStyle name="常规(小) 2 14 10" xfId="35835"/>
    <cellStyle name="常规(小) 2 14 2" xfId="35836"/>
    <cellStyle name="常规(小) 2 14 2 2" xfId="35837"/>
    <cellStyle name="常规(小) 2 14 2 3" xfId="35838"/>
    <cellStyle name="常规(小) 2 14 2 4" xfId="35839"/>
    <cellStyle name="常规(小) 2 14 2 5" xfId="35840"/>
    <cellStyle name="常规(小) 2 14 2 6" xfId="35841"/>
    <cellStyle name="常规(小) 2 14 2 7" xfId="35842"/>
    <cellStyle name="常规(小) 2 14 2 8" xfId="35843"/>
    <cellStyle name="常规(小) 2 14 3" xfId="35844"/>
    <cellStyle name="常规(小) 2 14 3 2" xfId="35845"/>
    <cellStyle name="常规(小) 2 14 3 3" xfId="35846"/>
    <cellStyle name="常规(小) 2 14 3 4" xfId="35847"/>
    <cellStyle name="常规(小) 2 14 3 5" xfId="35848"/>
    <cellStyle name="常规(小) 2 14 3 6" xfId="35849"/>
    <cellStyle name="常规(小) 2 14 3 7" xfId="35850"/>
    <cellStyle name="常规(小) 2 14 3 8" xfId="35851"/>
    <cellStyle name="常规(小) 2 14 4" xfId="35852"/>
    <cellStyle name="常规(小) 2 14 5" xfId="35853"/>
    <cellStyle name="常规(小) 2 14 6" xfId="35854"/>
    <cellStyle name="常规(小) 2 14 7" xfId="35855"/>
    <cellStyle name="常规(小) 2 14 8" xfId="35856"/>
    <cellStyle name="常规(小) 2 14 9" xfId="35857"/>
    <cellStyle name="常规(小) 2 15" xfId="35858"/>
    <cellStyle name="常规(小) 2 15 10" xfId="35860"/>
    <cellStyle name="常规(小) 2 15 2" xfId="35862"/>
    <cellStyle name="常规(小) 2 15 2 2" xfId="4790"/>
    <cellStyle name="常规(小) 2 15 2 3" xfId="8468"/>
    <cellStyle name="常规(小) 2 15 2 4" xfId="8473"/>
    <cellStyle name="常规(小) 2 15 2 5" xfId="8478"/>
    <cellStyle name="常规(小) 2 15 2 6" xfId="8483"/>
    <cellStyle name="常规(小) 2 15 2 7" xfId="8491"/>
    <cellStyle name="常规(小) 2 15 2 8" xfId="8501"/>
    <cellStyle name="常规(小) 2 15 3" xfId="35864"/>
    <cellStyle name="常规(小) 2 15 3 2" xfId="3711"/>
    <cellStyle name="常规(小) 2 15 3 3" xfId="35866"/>
    <cellStyle name="常规(小) 2 15 3 4" xfId="35868"/>
    <cellStyle name="常规(小) 2 15 3 5" xfId="35870"/>
    <cellStyle name="常规(小) 2 15 3 6" xfId="35872"/>
    <cellStyle name="常规(小) 2 15 3 7" xfId="35874"/>
    <cellStyle name="常规(小) 2 15 3 8" xfId="35876"/>
    <cellStyle name="常规(小) 2 15 4" xfId="35878"/>
    <cellStyle name="常规(小) 2 15 5" xfId="35880"/>
    <cellStyle name="常规(小) 2 15 6" xfId="35882"/>
    <cellStyle name="常规(小) 2 15 7" xfId="35884"/>
    <cellStyle name="常规(小) 2 15 8" xfId="35886"/>
    <cellStyle name="常规(小) 2 15 9" xfId="35888"/>
    <cellStyle name="常规(小) 2 16" xfId="35890"/>
    <cellStyle name="常规(小) 2 16 10" xfId="35892"/>
    <cellStyle name="常规(小) 2 16 2" xfId="35894"/>
    <cellStyle name="常规(小) 2 16 2 2" xfId="35896"/>
    <cellStyle name="常规(小) 2 16 2 3" xfId="35898"/>
    <cellStyle name="常规(小) 2 16 2 4" xfId="35900"/>
    <cellStyle name="常规(小) 2 16 2 5" xfId="35902"/>
    <cellStyle name="常规(小) 2 16 2 6" xfId="35904"/>
    <cellStyle name="常规(小) 2 16 2 7" xfId="35906"/>
    <cellStyle name="常规(小) 2 16 2 8" xfId="35908"/>
    <cellStyle name="常规(小) 2 16 3" xfId="35910"/>
    <cellStyle name="常规(小) 2 16 3 2" xfId="3846"/>
    <cellStyle name="常规(小) 2 16 3 3" xfId="35912"/>
    <cellStyle name="常规(小) 2 16 3 4" xfId="35914"/>
    <cellStyle name="常规(小) 2 16 3 5" xfId="35916"/>
    <cellStyle name="常规(小) 2 16 3 6" xfId="35918"/>
    <cellStyle name="常规(小) 2 16 3 7" xfId="35920"/>
    <cellStyle name="常规(小) 2 16 3 8" xfId="35922"/>
    <cellStyle name="常规(小) 2 16 4" xfId="35924"/>
    <cellStyle name="常规(小) 2 16 5" xfId="35926"/>
    <cellStyle name="常规(小) 2 16 6" xfId="35928"/>
    <cellStyle name="常规(小) 2 16 7" xfId="35930"/>
    <cellStyle name="常规(小) 2 16 8" xfId="35932"/>
    <cellStyle name="常规(小) 2 16 9" xfId="35934"/>
    <cellStyle name="常规(小) 2 17" xfId="35936"/>
    <cellStyle name="常规(小) 2 17 10" xfId="9513"/>
    <cellStyle name="常规(小) 2 17 2" xfId="35938"/>
    <cellStyle name="常规(小) 2 17 2 2" xfId="35940"/>
    <cellStyle name="常规(小) 2 17 2 3" xfId="35942"/>
    <cellStyle name="常规(小) 2 17 2 4" xfId="35944"/>
    <cellStyle name="常规(小) 2 17 2 5" xfId="35946"/>
    <cellStyle name="常规(小) 2 17 2 6" xfId="35948"/>
    <cellStyle name="常规(小) 2 17 2 7" xfId="35950"/>
    <cellStyle name="常规(小) 2 17 2 8" xfId="35952"/>
    <cellStyle name="常规(小) 2 17 3" xfId="35954"/>
    <cellStyle name="常规(小) 2 17 3 2" xfId="9360"/>
    <cellStyle name="常规(小) 2 17 3 3" xfId="9370"/>
    <cellStyle name="常规(小) 2 17 3 4" xfId="9379"/>
    <cellStyle name="常规(小) 2 17 3 5" xfId="35956"/>
    <cellStyle name="常规(小) 2 17 3 6" xfId="35958"/>
    <cellStyle name="常规(小) 2 17 3 7" xfId="35960"/>
    <cellStyle name="常规(小) 2 17 3 8" xfId="35962"/>
    <cellStyle name="常规(小) 2 17 4" xfId="35964"/>
    <cellStyle name="常规(小) 2 17 5" xfId="35966"/>
    <cellStyle name="常规(小) 2 17 6" xfId="35968"/>
    <cellStyle name="常规(小) 2 17 7" xfId="35970"/>
    <cellStyle name="常规(小) 2 17 8" xfId="35972"/>
    <cellStyle name="常规(小) 2 17 9" xfId="35974"/>
    <cellStyle name="常规(小) 2 18" xfId="35976"/>
    <cellStyle name="常规(小) 2 18 10" xfId="35978"/>
    <cellStyle name="常规(小) 2 18 2" xfId="35980"/>
    <cellStyle name="常规(小) 2 18 2 2" xfId="35982"/>
    <cellStyle name="常规(小) 2 18 2 3" xfId="35984"/>
    <cellStyle name="常规(小) 2 18 2 4" xfId="35986"/>
    <cellStyle name="常规(小) 2 18 2 5" xfId="35988"/>
    <cellStyle name="常规(小) 2 18 2 6" xfId="35990"/>
    <cellStyle name="常规(小) 2 18 2 7" xfId="35992"/>
    <cellStyle name="常规(小) 2 18 2 8" xfId="35994"/>
    <cellStyle name="常规(小) 2 18 3" xfId="35996"/>
    <cellStyle name="常规(小) 2 18 3 2" xfId="35998"/>
    <cellStyle name="常规(小) 2 18 3 3" xfId="36000"/>
    <cellStyle name="常规(小) 2 18 3 4" xfId="36002"/>
    <cellStyle name="常规(小) 2 18 3 5" xfId="36004"/>
    <cellStyle name="常规(小) 2 18 3 6" xfId="36006"/>
    <cellStyle name="常规(小) 2 18 3 7" xfId="36008"/>
    <cellStyle name="常规(小) 2 18 3 8" xfId="36010"/>
    <cellStyle name="常规(小) 2 18 4" xfId="36012"/>
    <cellStyle name="常规(小) 2 18 5" xfId="36014"/>
    <cellStyle name="常规(小) 2 18 6" xfId="36016"/>
    <cellStyle name="常规(小) 2 18 7" xfId="36018"/>
    <cellStyle name="常规(小) 2 18 8" xfId="36020"/>
    <cellStyle name="常规(小) 2 18 9" xfId="36022"/>
    <cellStyle name="常规(小) 2 19" xfId="36024"/>
    <cellStyle name="常规(小) 2 19 10" xfId="36026"/>
    <cellStyle name="常规(小) 2 19 2" xfId="36028"/>
    <cellStyle name="常规(小) 2 19 2 2" xfId="36030"/>
    <cellStyle name="常规(小) 2 19 2 3" xfId="36032"/>
    <cellStyle name="常规(小) 2 19 2 4" xfId="36034"/>
    <cellStyle name="常规(小) 2 19 2 5" xfId="36036"/>
    <cellStyle name="常规(小) 2 19 2 6" xfId="36038"/>
    <cellStyle name="常规(小) 2 19 2 7" xfId="36040"/>
    <cellStyle name="常规(小) 2 19 2 8" xfId="36042"/>
    <cellStyle name="常规(小) 2 19 3" xfId="36044"/>
    <cellStyle name="常规(小) 2 19 3 2" xfId="36046"/>
    <cellStyle name="常规(小) 2 19 3 3" xfId="36048"/>
    <cellStyle name="常规(小) 2 19 3 4" xfId="36050"/>
    <cellStyle name="常规(小) 2 19 3 5" xfId="36052"/>
    <cellStyle name="常规(小) 2 19 3 6" xfId="36054"/>
    <cellStyle name="常规(小) 2 19 3 7" xfId="36056"/>
    <cellStyle name="常规(小) 2 19 3 8" xfId="36058"/>
    <cellStyle name="常规(小) 2 19 4" xfId="36060"/>
    <cellStyle name="常规(小) 2 19 5" xfId="36062"/>
    <cellStyle name="常规(小) 2 19 6" xfId="36064"/>
    <cellStyle name="常规(小) 2 19 7" xfId="36066"/>
    <cellStyle name="常规(小) 2 19 8" xfId="36068"/>
    <cellStyle name="常规(小) 2 19 9" xfId="36070"/>
    <cellStyle name="常规(小) 2 2" xfId="36072"/>
    <cellStyle name="常规(小) 2 2 10" xfId="36073"/>
    <cellStyle name="常规(小) 2 2 2" xfId="36074"/>
    <cellStyle name="常规(小) 2 2 2 2" xfId="36075"/>
    <cellStyle name="常规(小) 2 2 2 3" xfId="36076"/>
    <cellStyle name="常规(小) 2 2 2 4" xfId="36077"/>
    <cellStyle name="常规(小) 2 2 2 5" xfId="36078"/>
    <cellStyle name="常规(小) 2 2 2 6" xfId="36079"/>
    <cellStyle name="常规(小) 2 2 2 7" xfId="36080"/>
    <cellStyle name="常规(小) 2 2 2 8" xfId="36081"/>
    <cellStyle name="常规(小) 2 2 3" xfId="36082"/>
    <cellStyle name="常规(小) 2 2 3 2" xfId="36083"/>
    <cellStyle name="常规(小) 2 2 3 3" xfId="36084"/>
    <cellStyle name="常规(小) 2 2 3 4" xfId="36085"/>
    <cellStyle name="常规(小) 2 2 3 5" xfId="36086"/>
    <cellStyle name="常规(小) 2 2 3 6" xfId="36087"/>
    <cellStyle name="常规(小) 2 2 3 7" xfId="36088"/>
    <cellStyle name="常规(小) 2 2 3 8" xfId="36089"/>
    <cellStyle name="常规(小) 2 2 4" xfId="36090"/>
    <cellStyle name="常规(小) 2 2 5" xfId="36091"/>
    <cellStyle name="常规(小) 2 2 6" xfId="36092"/>
    <cellStyle name="常规(小) 2 2 7" xfId="36093"/>
    <cellStyle name="常规(小) 2 2 8" xfId="36094"/>
    <cellStyle name="常规(小) 2 2 9" xfId="36095"/>
    <cellStyle name="常规(小) 2 20" xfId="35859"/>
    <cellStyle name="常规(小) 2 20 10" xfId="35861"/>
    <cellStyle name="常规(小) 2 20 2" xfId="35863"/>
    <cellStyle name="常规(小) 2 20 2 2" xfId="4789"/>
    <cellStyle name="常规(小) 2 20 2 3" xfId="8467"/>
    <cellStyle name="常规(小) 2 20 2 4" xfId="8472"/>
    <cellStyle name="常规(小) 2 20 2 5" xfId="8477"/>
    <cellStyle name="常规(小) 2 20 2 6" xfId="8482"/>
    <cellStyle name="常规(小) 2 20 2 7" xfId="8490"/>
    <cellStyle name="常规(小) 2 20 2 8" xfId="8500"/>
    <cellStyle name="常规(小) 2 20 3" xfId="35865"/>
    <cellStyle name="常规(小) 2 20 3 2" xfId="3712"/>
    <cellStyle name="常规(小) 2 20 3 3" xfId="35867"/>
    <cellStyle name="常规(小) 2 20 3 4" xfId="35869"/>
    <cellStyle name="常规(小) 2 20 3 5" xfId="35871"/>
    <cellStyle name="常规(小) 2 20 3 6" xfId="35873"/>
    <cellStyle name="常规(小) 2 20 3 7" xfId="35875"/>
    <cellStyle name="常规(小) 2 20 3 8" xfId="35877"/>
    <cellStyle name="常规(小) 2 20 4" xfId="35879"/>
    <cellStyle name="常规(小) 2 20 5" xfId="35881"/>
    <cellStyle name="常规(小) 2 20 6" xfId="35883"/>
    <cellStyle name="常规(小) 2 20 7" xfId="35885"/>
    <cellStyle name="常规(小) 2 20 8" xfId="35887"/>
    <cellStyle name="常规(小) 2 20 9" xfId="35889"/>
    <cellStyle name="常规(小) 2 21" xfId="35891"/>
    <cellStyle name="常规(小) 2 21 10" xfId="35893"/>
    <cellStyle name="常规(小) 2 21 2" xfId="35895"/>
    <cellStyle name="常规(小) 2 21 2 2" xfId="35897"/>
    <cellStyle name="常规(小) 2 21 2 3" xfId="35899"/>
    <cellStyle name="常规(小) 2 21 2 4" xfId="35901"/>
    <cellStyle name="常规(小) 2 21 2 5" xfId="35903"/>
    <cellStyle name="常规(小) 2 21 2 6" xfId="35905"/>
    <cellStyle name="常规(小) 2 21 2 7" xfId="35907"/>
    <cellStyle name="常规(小) 2 21 2 8" xfId="35909"/>
    <cellStyle name="常规(小) 2 21 3" xfId="35911"/>
    <cellStyle name="常规(小) 2 21 3 2" xfId="3847"/>
    <cellStyle name="常规(小) 2 21 3 3" xfId="35913"/>
    <cellStyle name="常规(小) 2 21 3 4" xfId="35915"/>
    <cellStyle name="常规(小) 2 21 3 5" xfId="35917"/>
    <cellStyle name="常规(小) 2 21 3 6" xfId="35919"/>
    <cellStyle name="常规(小) 2 21 3 7" xfId="35921"/>
    <cellStyle name="常规(小) 2 21 3 8" xfId="35923"/>
    <cellStyle name="常规(小) 2 21 4" xfId="35925"/>
    <cellStyle name="常规(小) 2 21 5" xfId="35927"/>
    <cellStyle name="常规(小) 2 21 6" xfId="35929"/>
    <cellStyle name="常规(小) 2 21 7" xfId="35931"/>
    <cellStyle name="常规(小) 2 21 8" xfId="35933"/>
    <cellStyle name="常规(小) 2 21 9" xfId="35935"/>
    <cellStyle name="常规(小) 2 22" xfId="35937"/>
    <cellStyle name="常规(小) 2 22 10" xfId="9512"/>
    <cellStyle name="常规(小) 2 22 2" xfId="35939"/>
    <cellStyle name="常规(小) 2 22 2 2" xfId="35941"/>
    <cellStyle name="常规(小) 2 22 2 3" xfId="35943"/>
    <cellStyle name="常规(小) 2 22 2 4" xfId="35945"/>
    <cellStyle name="常规(小) 2 22 2 5" xfId="35947"/>
    <cellStyle name="常规(小) 2 22 2 6" xfId="35949"/>
    <cellStyle name="常规(小) 2 22 2 7" xfId="35951"/>
    <cellStyle name="常规(小) 2 22 2 8" xfId="35953"/>
    <cellStyle name="常规(小) 2 22 3" xfId="35955"/>
    <cellStyle name="常规(小) 2 22 3 2" xfId="9359"/>
    <cellStyle name="常规(小) 2 22 3 3" xfId="9369"/>
    <cellStyle name="常规(小) 2 22 3 4" xfId="9378"/>
    <cellStyle name="常规(小) 2 22 3 5" xfId="35957"/>
    <cellStyle name="常规(小) 2 22 3 6" xfId="35959"/>
    <cellStyle name="常规(小) 2 22 3 7" xfId="35961"/>
    <cellStyle name="常规(小) 2 22 3 8" xfId="35963"/>
    <cellStyle name="常规(小) 2 22 4" xfId="35965"/>
    <cellStyle name="常规(小) 2 22 5" xfId="35967"/>
    <cellStyle name="常规(小) 2 22 6" xfId="35969"/>
    <cellStyle name="常规(小) 2 22 7" xfId="35971"/>
    <cellStyle name="常规(小) 2 22 8" xfId="35973"/>
    <cellStyle name="常规(小) 2 22 9" xfId="35975"/>
    <cellStyle name="常规(小) 2 23" xfId="35977"/>
    <cellStyle name="常规(小) 2 23 10" xfId="35979"/>
    <cellStyle name="常规(小) 2 23 2" xfId="35981"/>
    <cellStyle name="常规(小) 2 23 2 2" xfId="35983"/>
    <cellStyle name="常规(小) 2 23 2 3" xfId="35985"/>
    <cellStyle name="常规(小) 2 23 2 4" xfId="35987"/>
    <cellStyle name="常规(小) 2 23 2 5" xfId="35989"/>
    <cellStyle name="常规(小) 2 23 2 6" xfId="35991"/>
    <cellStyle name="常规(小) 2 23 2 7" xfId="35993"/>
    <cellStyle name="常规(小) 2 23 2 8" xfId="35995"/>
    <cellStyle name="常规(小) 2 23 3" xfId="35997"/>
    <cellStyle name="常规(小) 2 23 3 2" xfId="35999"/>
    <cellStyle name="常规(小) 2 23 3 3" xfId="36001"/>
    <cellStyle name="常规(小) 2 23 3 4" xfId="36003"/>
    <cellStyle name="常规(小) 2 23 3 5" xfId="36005"/>
    <cellStyle name="常规(小) 2 23 3 6" xfId="36007"/>
    <cellStyle name="常规(小) 2 23 3 7" xfId="36009"/>
    <cellStyle name="常规(小) 2 23 3 8" xfId="36011"/>
    <cellStyle name="常规(小) 2 23 4" xfId="36013"/>
    <cellStyle name="常规(小) 2 23 5" xfId="36015"/>
    <cellStyle name="常规(小) 2 23 6" xfId="36017"/>
    <cellStyle name="常规(小) 2 23 7" xfId="36019"/>
    <cellStyle name="常规(小) 2 23 8" xfId="36021"/>
    <cellStyle name="常规(小) 2 23 9" xfId="36023"/>
    <cellStyle name="常规(小) 2 24" xfId="36025"/>
    <cellStyle name="常规(小) 2 24 10" xfId="36027"/>
    <cellStyle name="常规(小) 2 24 2" xfId="36029"/>
    <cellStyle name="常规(小) 2 24 2 2" xfId="36031"/>
    <cellStyle name="常规(小) 2 24 2 3" xfId="36033"/>
    <cellStyle name="常规(小) 2 24 2 4" xfId="36035"/>
    <cellStyle name="常规(小) 2 24 2 5" xfId="36037"/>
    <cellStyle name="常规(小) 2 24 2 6" xfId="36039"/>
    <cellStyle name="常规(小) 2 24 2 7" xfId="36041"/>
    <cellStyle name="常规(小) 2 24 2 8" xfId="36043"/>
    <cellStyle name="常规(小) 2 24 3" xfId="36045"/>
    <cellStyle name="常规(小) 2 24 3 2" xfId="36047"/>
    <cellStyle name="常规(小) 2 24 3 3" xfId="36049"/>
    <cellStyle name="常规(小) 2 24 3 4" xfId="36051"/>
    <cellStyle name="常规(小) 2 24 3 5" xfId="36053"/>
    <cellStyle name="常规(小) 2 24 3 6" xfId="36055"/>
    <cellStyle name="常规(小) 2 24 3 7" xfId="36057"/>
    <cellStyle name="常规(小) 2 24 3 8" xfId="36059"/>
    <cellStyle name="常规(小) 2 24 4" xfId="36061"/>
    <cellStyle name="常规(小) 2 24 5" xfId="36063"/>
    <cellStyle name="常规(小) 2 24 6" xfId="36065"/>
    <cellStyle name="常规(小) 2 24 7" xfId="36067"/>
    <cellStyle name="常规(小) 2 24 8" xfId="36069"/>
    <cellStyle name="常规(小) 2 24 9" xfId="36071"/>
    <cellStyle name="常规(小) 2 25" xfId="36096"/>
    <cellStyle name="常规(小) 2 25 10" xfId="164"/>
    <cellStyle name="常规(小) 2 25 2" xfId="36098"/>
    <cellStyle name="常规(小) 2 25 2 2" xfId="36100"/>
    <cellStyle name="常规(小) 2 25 2 3" xfId="36102"/>
    <cellStyle name="常规(小) 2 25 2 4" xfId="36104"/>
    <cellStyle name="常规(小) 2 25 2 5" xfId="36106"/>
    <cellStyle name="常规(小) 2 25 2 6" xfId="36108"/>
    <cellStyle name="常规(小) 2 25 2 7" xfId="36110"/>
    <cellStyle name="常规(小) 2 25 2 8" xfId="36112"/>
    <cellStyle name="常规(小) 2 25 3" xfId="36114"/>
    <cellStyle name="常规(小) 2 25 3 2" xfId="36116"/>
    <cellStyle name="常规(小) 2 25 3 3" xfId="36118"/>
    <cellStyle name="常规(小) 2 25 3 4" xfId="36120"/>
    <cellStyle name="常规(小) 2 25 3 5" xfId="36122"/>
    <cellStyle name="常规(小) 2 25 3 6" xfId="36124"/>
    <cellStyle name="常规(小) 2 25 3 7" xfId="36126"/>
    <cellStyle name="常规(小) 2 25 3 8" xfId="36128"/>
    <cellStyle name="常规(小) 2 25 4" xfId="36130"/>
    <cellStyle name="常规(小) 2 25 5" xfId="36132"/>
    <cellStyle name="常规(小) 2 25 6" xfId="36134"/>
    <cellStyle name="常规(小) 2 25 7" xfId="36136"/>
    <cellStyle name="常规(小) 2 25 8" xfId="36138"/>
    <cellStyle name="常规(小) 2 25 9" xfId="36140"/>
    <cellStyle name="常规(小) 2 26" xfId="36142"/>
    <cellStyle name="常规(小) 2 26 10" xfId="3795"/>
    <cellStyle name="常规(小) 2 26 2" xfId="36144"/>
    <cellStyle name="常规(小) 2 26 2 2" xfId="36146"/>
    <cellStyle name="常规(小) 2 26 2 3" xfId="36148"/>
    <cellStyle name="常规(小) 2 26 2 4" xfId="36150"/>
    <cellStyle name="常规(小) 2 26 2 5" xfId="36152"/>
    <cellStyle name="常规(小) 2 26 2 6" xfId="36154"/>
    <cellStyle name="常规(小) 2 26 2 7" xfId="36156"/>
    <cellStyle name="常规(小) 2 26 2 8" xfId="36158"/>
    <cellStyle name="常规(小) 2 26 3" xfId="36160"/>
    <cellStyle name="常规(小) 2 26 3 2" xfId="36162"/>
    <cellStyle name="常规(小) 2 26 3 3" xfId="36164"/>
    <cellStyle name="常规(小) 2 26 3 4" xfId="36166"/>
    <cellStyle name="常规(小) 2 26 3 5" xfId="36168"/>
    <cellStyle name="常规(小) 2 26 3 6" xfId="36170"/>
    <cellStyle name="常规(小) 2 26 3 7" xfId="36172"/>
    <cellStyle name="常规(小) 2 26 3 8" xfId="36174"/>
    <cellStyle name="常规(小) 2 26 4" xfId="36176"/>
    <cellStyle name="常规(小) 2 26 5" xfId="36178"/>
    <cellStyle name="常规(小) 2 26 6" xfId="36180"/>
    <cellStyle name="常规(小) 2 26 7" xfId="36182"/>
    <cellStyle name="常规(小) 2 26 8" xfId="36184"/>
    <cellStyle name="常规(小) 2 26 9" xfId="36186"/>
    <cellStyle name="常规(小) 2 27" xfId="36188"/>
    <cellStyle name="常规(小) 2 27 10" xfId="36190"/>
    <cellStyle name="常规(小) 2 27 2" xfId="36192"/>
    <cellStyle name="常规(小) 2 27 2 2" xfId="36194"/>
    <cellStyle name="常规(小) 2 27 2 3" xfId="36196"/>
    <cellStyle name="常规(小) 2 27 2 4" xfId="36198"/>
    <cellStyle name="常规(小) 2 27 2 5" xfId="36200"/>
    <cellStyle name="常规(小) 2 27 2 6" xfId="36202"/>
    <cellStyle name="常规(小) 2 27 2 7" xfId="36204"/>
    <cellStyle name="常规(小) 2 27 2 8" xfId="36206"/>
    <cellStyle name="常规(小) 2 27 3" xfId="36208"/>
    <cellStyle name="常规(小) 2 27 3 2" xfId="36210"/>
    <cellStyle name="常规(小) 2 27 3 3" xfId="36212"/>
    <cellStyle name="常规(小) 2 27 3 4" xfId="36214"/>
    <cellStyle name="常规(小) 2 27 3 5" xfId="36216"/>
    <cellStyle name="常规(小) 2 27 3 6" xfId="36218"/>
    <cellStyle name="常规(小) 2 27 3 7" xfId="36220"/>
    <cellStyle name="常规(小) 2 27 3 8" xfId="36222"/>
    <cellStyle name="常规(小) 2 27 4" xfId="36224"/>
    <cellStyle name="常规(小) 2 27 5" xfId="36226"/>
    <cellStyle name="常规(小) 2 27 6" xfId="36228"/>
    <cellStyle name="常规(小) 2 27 7" xfId="36230"/>
    <cellStyle name="常规(小) 2 27 8" xfId="36232"/>
    <cellStyle name="常规(小) 2 27 9" xfId="36234"/>
    <cellStyle name="常规(小) 2 28" xfId="36236"/>
    <cellStyle name="常规(小) 2 28 10" xfId="36238"/>
    <cellStyle name="常规(小) 2 28 2" xfId="36240"/>
    <cellStyle name="常规(小) 2 28 2 2" xfId="36242"/>
    <cellStyle name="常规(小) 2 28 2 3" xfId="36244"/>
    <cellStyle name="常规(小) 2 28 2 4" xfId="36246"/>
    <cellStyle name="常规(小) 2 28 2 5" xfId="36248"/>
    <cellStyle name="常规(小) 2 28 2 6" xfId="36250"/>
    <cellStyle name="常规(小) 2 28 2 7" xfId="36252"/>
    <cellStyle name="常规(小) 2 28 2 8" xfId="36254"/>
    <cellStyle name="常规(小) 2 28 3" xfId="36256"/>
    <cellStyle name="常规(小) 2 28 3 2" xfId="36258"/>
    <cellStyle name="常规(小) 2 28 3 3" xfId="36260"/>
    <cellStyle name="常规(小) 2 28 3 4" xfId="36262"/>
    <cellStyle name="常规(小) 2 28 3 5" xfId="36264"/>
    <cellStyle name="常规(小) 2 28 3 6" xfId="36266"/>
    <cellStyle name="常规(小) 2 28 3 7" xfId="36268"/>
    <cellStyle name="常规(小) 2 28 3 8" xfId="36270"/>
    <cellStyle name="常规(小) 2 28 4" xfId="36272"/>
    <cellStyle name="常规(小) 2 28 5" xfId="36274"/>
    <cellStyle name="常规(小) 2 28 6" xfId="36276"/>
    <cellStyle name="常规(小) 2 28 7" xfId="36278"/>
    <cellStyle name="常规(小) 2 28 8" xfId="36280"/>
    <cellStyle name="常规(小) 2 28 9" xfId="36282"/>
    <cellStyle name="常规(小) 2 29" xfId="36284"/>
    <cellStyle name="常规(小) 2 29 10" xfId="36286"/>
    <cellStyle name="常规(小) 2 29 2" xfId="36288"/>
    <cellStyle name="常规(小) 2 29 2 2" xfId="36290"/>
    <cellStyle name="常规(小) 2 29 2 3" xfId="36292"/>
    <cellStyle name="常规(小) 2 29 2 4" xfId="36294"/>
    <cellStyle name="常规(小) 2 29 2 5" xfId="36296"/>
    <cellStyle name="常规(小) 2 29 2 6" xfId="36298"/>
    <cellStyle name="常规(小) 2 29 2 7" xfId="36300"/>
    <cellStyle name="常规(小) 2 29 2 8" xfId="36302"/>
    <cellStyle name="常规(小) 2 29 3" xfId="36304"/>
    <cellStyle name="常规(小) 2 29 3 2" xfId="36306"/>
    <cellStyle name="常规(小) 2 29 3 3" xfId="36308"/>
    <cellStyle name="常规(小) 2 29 3 4" xfId="36310"/>
    <cellStyle name="常规(小) 2 29 3 5" xfId="36312"/>
    <cellStyle name="常规(小) 2 29 3 6" xfId="36314"/>
    <cellStyle name="常规(小) 2 29 3 7" xfId="36316"/>
    <cellStyle name="常规(小) 2 29 3 8" xfId="36318"/>
    <cellStyle name="常规(小) 2 29 4" xfId="36320"/>
    <cellStyle name="常规(小) 2 29 5" xfId="36322"/>
    <cellStyle name="常规(小) 2 29 6" xfId="36324"/>
    <cellStyle name="常规(小) 2 29 7" xfId="36326"/>
    <cellStyle name="常规(小) 2 29 8" xfId="36328"/>
    <cellStyle name="常规(小) 2 29 9" xfId="36330"/>
    <cellStyle name="常规(小) 2 3" xfId="36332"/>
    <cellStyle name="常规(小) 2 3 10" xfId="36333"/>
    <cellStyle name="常规(小) 2 3 2" xfId="19793"/>
    <cellStyle name="常规(小) 2 3 2 2" xfId="36334"/>
    <cellStyle name="常规(小) 2 3 2 3" xfId="36335"/>
    <cellStyle name="常规(小) 2 3 2 4" xfId="36336"/>
    <cellStyle name="常规(小) 2 3 2 5" xfId="36337"/>
    <cellStyle name="常规(小) 2 3 2 6" xfId="36338"/>
    <cellStyle name="常规(小) 2 3 2 7" xfId="36339"/>
    <cellStyle name="常规(小) 2 3 2 8" xfId="36340"/>
    <cellStyle name="常规(小) 2 3 3" xfId="19800"/>
    <cellStyle name="常规(小) 2 3 3 2" xfId="36341"/>
    <cellStyle name="常规(小) 2 3 3 3" xfId="36342"/>
    <cellStyle name="常规(小) 2 3 3 4" xfId="36343"/>
    <cellStyle name="常规(小) 2 3 3 5" xfId="36344"/>
    <cellStyle name="常规(小) 2 3 3 6" xfId="36345"/>
    <cellStyle name="常规(小) 2 3 3 7" xfId="36346"/>
    <cellStyle name="常规(小) 2 3 3 8" xfId="36347"/>
    <cellStyle name="常规(小) 2 3 4" xfId="19807"/>
    <cellStyle name="常规(小) 2 3 5" xfId="19814"/>
    <cellStyle name="常规(小) 2 3 6" xfId="36348"/>
    <cellStyle name="常规(小) 2 3 7" xfId="36349"/>
    <cellStyle name="常规(小) 2 3 8" xfId="36350"/>
    <cellStyle name="常规(小) 2 3 9" xfId="36351"/>
    <cellStyle name="常规(小) 2 30" xfId="36097"/>
    <cellStyle name="常规(小) 2 30 10" xfId="163"/>
    <cellStyle name="常规(小) 2 30 2" xfId="36099"/>
    <cellStyle name="常规(小) 2 30 2 2" xfId="36101"/>
    <cellStyle name="常规(小) 2 30 2 3" xfId="36103"/>
    <cellStyle name="常规(小) 2 30 2 4" xfId="36105"/>
    <cellStyle name="常规(小) 2 30 2 5" xfId="36107"/>
    <cellStyle name="常规(小) 2 30 2 6" xfId="36109"/>
    <cellStyle name="常规(小) 2 30 2 7" xfId="36111"/>
    <cellStyle name="常规(小) 2 30 2 8" xfId="36113"/>
    <cellStyle name="常规(小) 2 30 3" xfId="36115"/>
    <cellStyle name="常规(小) 2 30 3 2" xfId="36117"/>
    <cellStyle name="常规(小) 2 30 3 3" xfId="36119"/>
    <cellStyle name="常规(小) 2 30 3 4" xfId="36121"/>
    <cellStyle name="常规(小) 2 30 3 5" xfId="36123"/>
    <cellStyle name="常规(小) 2 30 3 6" xfId="36125"/>
    <cellStyle name="常规(小) 2 30 3 7" xfId="36127"/>
    <cellStyle name="常规(小) 2 30 3 8" xfId="36129"/>
    <cellStyle name="常规(小) 2 30 4" xfId="36131"/>
    <cellStyle name="常规(小) 2 30 5" xfId="36133"/>
    <cellStyle name="常规(小) 2 30 6" xfId="36135"/>
    <cellStyle name="常规(小) 2 30 7" xfId="36137"/>
    <cellStyle name="常规(小) 2 30 8" xfId="36139"/>
    <cellStyle name="常规(小) 2 30 9" xfId="36141"/>
    <cellStyle name="常规(小) 2 31" xfId="36143"/>
    <cellStyle name="常规(小) 2 31 10" xfId="3796"/>
    <cellStyle name="常规(小) 2 31 2" xfId="36145"/>
    <cellStyle name="常规(小) 2 31 2 2" xfId="36147"/>
    <cellStyle name="常规(小) 2 31 2 3" xfId="36149"/>
    <cellStyle name="常规(小) 2 31 2 4" xfId="36151"/>
    <cellStyle name="常规(小) 2 31 2 5" xfId="36153"/>
    <cellStyle name="常规(小) 2 31 2 6" xfId="36155"/>
    <cellStyle name="常规(小) 2 31 2 7" xfId="36157"/>
    <cellStyle name="常规(小) 2 31 2 8" xfId="36159"/>
    <cellStyle name="常规(小) 2 31 3" xfId="36161"/>
    <cellStyle name="常规(小) 2 31 3 2" xfId="36163"/>
    <cellStyle name="常规(小) 2 31 3 3" xfId="36165"/>
    <cellStyle name="常规(小) 2 31 3 4" xfId="36167"/>
    <cellStyle name="常规(小) 2 31 3 5" xfId="36169"/>
    <cellStyle name="常规(小) 2 31 3 6" xfId="36171"/>
    <cellStyle name="常规(小) 2 31 3 7" xfId="36173"/>
    <cellStyle name="常规(小) 2 31 3 8" xfId="36175"/>
    <cellStyle name="常规(小) 2 31 4" xfId="36177"/>
    <cellStyle name="常规(小) 2 31 5" xfId="36179"/>
    <cellStyle name="常规(小) 2 31 6" xfId="36181"/>
    <cellStyle name="常规(小) 2 31 7" xfId="36183"/>
    <cellStyle name="常规(小) 2 31 8" xfId="36185"/>
    <cellStyle name="常规(小) 2 31 9" xfId="36187"/>
    <cellStyle name="常规(小) 2 32" xfId="36189"/>
    <cellStyle name="常规(小) 2 32 10" xfId="36191"/>
    <cellStyle name="常规(小) 2 32 2" xfId="36193"/>
    <cellStyle name="常规(小) 2 32 2 2" xfId="36195"/>
    <cellStyle name="常规(小) 2 32 2 3" xfId="36197"/>
    <cellStyle name="常规(小) 2 32 2 4" xfId="36199"/>
    <cellStyle name="常规(小) 2 32 2 5" xfId="36201"/>
    <cellStyle name="常规(小) 2 32 2 6" xfId="36203"/>
    <cellStyle name="常规(小) 2 32 2 7" xfId="36205"/>
    <cellStyle name="常规(小) 2 32 2 8" xfId="36207"/>
    <cellStyle name="常规(小) 2 32 3" xfId="36209"/>
    <cellStyle name="常规(小) 2 32 3 2" xfId="36211"/>
    <cellStyle name="常规(小) 2 32 3 3" xfId="36213"/>
    <cellStyle name="常规(小) 2 32 3 4" xfId="36215"/>
    <cellStyle name="常规(小) 2 32 3 5" xfId="36217"/>
    <cellStyle name="常规(小) 2 32 3 6" xfId="36219"/>
    <cellStyle name="常规(小) 2 32 3 7" xfId="36221"/>
    <cellStyle name="常规(小) 2 32 3 8" xfId="36223"/>
    <cellStyle name="常规(小) 2 32 4" xfId="36225"/>
    <cellStyle name="常规(小) 2 32 5" xfId="36227"/>
    <cellStyle name="常规(小) 2 32 6" xfId="36229"/>
    <cellStyle name="常规(小) 2 32 7" xfId="36231"/>
    <cellStyle name="常规(小) 2 32 8" xfId="36233"/>
    <cellStyle name="常规(小) 2 32 9" xfId="36235"/>
    <cellStyle name="常规(小) 2 33" xfId="36237"/>
    <cellStyle name="常规(小) 2 33 10" xfId="36239"/>
    <cellStyle name="常规(小) 2 33 2" xfId="36241"/>
    <cellStyle name="常规(小) 2 33 2 2" xfId="36243"/>
    <cellStyle name="常规(小) 2 33 2 3" xfId="36245"/>
    <cellStyle name="常规(小) 2 33 2 4" xfId="36247"/>
    <cellStyle name="常规(小) 2 33 2 5" xfId="36249"/>
    <cellStyle name="常规(小) 2 33 2 6" xfId="36251"/>
    <cellStyle name="常规(小) 2 33 2 7" xfId="36253"/>
    <cellStyle name="常规(小) 2 33 2 8" xfId="36255"/>
    <cellStyle name="常规(小) 2 33 3" xfId="36257"/>
    <cellStyle name="常规(小) 2 33 3 2" xfId="36259"/>
    <cellStyle name="常规(小) 2 33 3 3" xfId="36261"/>
    <cellStyle name="常规(小) 2 33 3 4" xfId="36263"/>
    <cellStyle name="常规(小) 2 33 3 5" xfId="36265"/>
    <cellStyle name="常规(小) 2 33 3 6" xfId="36267"/>
    <cellStyle name="常规(小) 2 33 3 7" xfId="36269"/>
    <cellStyle name="常规(小) 2 33 3 8" xfId="36271"/>
    <cellStyle name="常规(小) 2 33 4" xfId="36273"/>
    <cellStyle name="常规(小) 2 33 5" xfId="36275"/>
    <cellStyle name="常规(小) 2 33 6" xfId="36277"/>
    <cellStyle name="常规(小) 2 33 7" xfId="36279"/>
    <cellStyle name="常规(小) 2 33 8" xfId="36281"/>
    <cellStyle name="常规(小) 2 33 9" xfId="36283"/>
    <cellStyle name="常规(小) 2 34" xfId="36285"/>
    <cellStyle name="常规(小) 2 34 10" xfId="36287"/>
    <cellStyle name="常规(小) 2 34 2" xfId="36289"/>
    <cellStyle name="常规(小) 2 34 2 2" xfId="36291"/>
    <cellStyle name="常规(小) 2 34 2 3" xfId="36293"/>
    <cellStyle name="常规(小) 2 34 2 4" xfId="36295"/>
    <cellStyle name="常规(小) 2 34 2 5" xfId="36297"/>
    <cellStyle name="常规(小) 2 34 2 6" xfId="36299"/>
    <cellStyle name="常规(小) 2 34 2 7" xfId="36301"/>
    <cellStyle name="常规(小) 2 34 2 8" xfId="36303"/>
    <cellStyle name="常规(小) 2 34 3" xfId="36305"/>
    <cellStyle name="常规(小) 2 34 3 2" xfId="36307"/>
    <cellStyle name="常规(小) 2 34 3 3" xfId="36309"/>
    <cellStyle name="常规(小) 2 34 3 4" xfId="36311"/>
    <cellStyle name="常规(小) 2 34 3 5" xfId="36313"/>
    <cellStyle name="常规(小) 2 34 3 6" xfId="36315"/>
    <cellStyle name="常规(小) 2 34 3 7" xfId="36317"/>
    <cellStyle name="常规(小) 2 34 3 8" xfId="36319"/>
    <cellStyle name="常规(小) 2 34 4" xfId="36321"/>
    <cellStyle name="常规(小) 2 34 5" xfId="36323"/>
    <cellStyle name="常规(小) 2 34 6" xfId="36325"/>
    <cellStyle name="常规(小) 2 34 7" xfId="36327"/>
    <cellStyle name="常规(小) 2 34 8" xfId="36329"/>
    <cellStyle name="常规(小) 2 34 9" xfId="36331"/>
    <cellStyle name="常规(小) 2 35" xfId="36352"/>
    <cellStyle name="常规(小) 2 35 10" xfId="3877"/>
    <cellStyle name="常规(小) 2 35 2" xfId="36354"/>
    <cellStyle name="常规(小) 2 35 2 2" xfId="36356"/>
    <cellStyle name="常规(小) 2 35 2 3" xfId="36358"/>
    <cellStyle name="常规(小) 2 35 2 4" xfId="36360"/>
    <cellStyle name="常规(小) 2 35 2 5" xfId="36362"/>
    <cellStyle name="常规(小) 2 35 2 6" xfId="36364"/>
    <cellStyle name="常规(小) 2 35 2 7" xfId="36366"/>
    <cellStyle name="常规(小) 2 35 2 8" xfId="36368"/>
    <cellStyle name="常规(小) 2 35 3" xfId="36370"/>
    <cellStyle name="常规(小) 2 35 3 2" xfId="36372"/>
    <cellStyle name="常规(小) 2 35 3 3" xfId="36374"/>
    <cellStyle name="常规(小) 2 35 3 4" xfId="36376"/>
    <cellStyle name="常规(小) 2 35 3 5" xfId="36378"/>
    <cellStyle name="常规(小) 2 35 3 6" xfId="36380"/>
    <cellStyle name="常规(小) 2 35 3 7" xfId="36382"/>
    <cellStyle name="常规(小) 2 35 3 8" xfId="36384"/>
    <cellStyle name="常规(小) 2 35 4" xfId="36386"/>
    <cellStyle name="常规(小) 2 35 5" xfId="36388"/>
    <cellStyle name="常规(小) 2 35 6" xfId="36390"/>
    <cellStyle name="常规(小) 2 35 7" xfId="36392"/>
    <cellStyle name="常规(小) 2 35 8" xfId="36394"/>
    <cellStyle name="常规(小) 2 35 9" xfId="36396"/>
    <cellStyle name="常规(小) 2 36" xfId="36398"/>
    <cellStyle name="常规(小) 2 36 10" xfId="3941"/>
    <cellStyle name="常规(小) 2 36 2" xfId="36400"/>
    <cellStyle name="常规(小) 2 36 2 2" xfId="36402"/>
    <cellStyle name="常规(小) 2 36 2 3" xfId="36404"/>
    <cellStyle name="常规(小) 2 36 2 4" xfId="36406"/>
    <cellStyle name="常规(小) 2 36 2 5" xfId="36408"/>
    <cellStyle name="常规(小) 2 36 2 6" xfId="36410"/>
    <cellStyle name="常规(小) 2 36 2 7" xfId="36412"/>
    <cellStyle name="常规(小) 2 36 2 8" xfId="36414"/>
    <cellStyle name="常规(小) 2 36 3" xfId="36416"/>
    <cellStyle name="常规(小) 2 36 3 2" xfId="36418"/>
    <cellStyle name="常规(小) 2 36 3 3" xfId="36420"/>
    <cellStyle name="常规(小) 2 36 3 4" xfId="36422"/>
    <cellStyle name="常规(小) 2 36 3 5" xfId="36424"/>
    <cellStyle name="常规(小) 2 36 3 6" xfId="36426"/>
    <cellStyle name="常规(小) 2 36 3 7" xfId="36428"/>
    <cellStyle name="常规(小) 2 36 3 8" xfId="36430"/>
    <cellStyle name="常规(小) 2 36 4" xfId="36432"/>
    <cellStyle name="常规(小) 2 36 5" xfId="36434"/>
    <cellStyle name="常规(小) 2 36 6" xfId="36436"/>
    <cellStyle name="常规(小) 2 36 7" xfId="36438"/>
    <cellStyle name="常规(小) 2 36 8" xfId="36440"/>
    <cellStyle name="常规(小) 2 36 9" xfId="36442"/>
    <cellStyle name="常规(小) 2 37" xfId="36444"/>
    <cellStyle name="常规(小) 2 37 10" xfId="36446"/>
    <cellStyle name="常规(小) 2 37 2" xfId="36448"/>
    <cellStyle name="常规(小) 2 37 2 2" xfId="36450"/>
    <cellStyle name="常规(小) 2 37 2 3" xfId="36452"/>
    <cellStyle name="常规(小) 2 37 2 4" xfId="36454"/>
    <cellStyle name="常规(小) 2 37 2 5" xfId="36456"/>
    <cellStyle name="常规(小) 2 37 2 6" xfId="36458"/>
    <cellStyle name="常规(小) 2 37 2 7" xfId="36460"/>
    <cellStyle name="常规(小) 2 37 2 8" xfId="36462"/>
    <cellStyle name="常规(小) 2 37 3" xfId="36464"/>
    <cellStyle name="常规(小) 2 37 3 2" xfId="36466"/>
    <cellStyle name="常规(小) 2 37 3 3" xfId="36468"/>
    <cellStyle name="常规(小) 2 37 3 4" xfId="36470"/>
    <cellStyle name="常规(小) 2 37 3 5" xfId="36472"/>
    <cellStyle name="常规(小) 2 37 3 6" xfId="36474"/>
    <cellStyle name="常规(小) 2 37 3 7" xfId="36476"/>
    <cellStyle name="常规(小) 2 37 3 8" xfId="36478"/>
    <cellStyle name="常规(小) 2 37 4" xfId="36480"/>
    <cellStyle name="常规(小) 2 37 5" xfId="36482"/>
    <cellStyle name="常规(小) 2 37 6" xfId="36484"/>
    <cellStyle name="常规(小) 2 37 7" xfId="36486"/>
    <cellStyle name="常规(小) 2 37 8" xfId="36488"/>
    <cellStyle name="常规(小) 2 37 9" xfId="36490"/>
    <cellStyle name="常规(小) 2 38" xfId="36492"/>
    <cellStyle name="常规(小) 2 38 10" xfId="36494"/>
    <cellStyle name="常规(小) 2 38 2" xfId="36496"/>
    <cellStyle name="常规(小) 2 38 2 2" xfId="36498"/>
    <cellStyle name="常规(小) 2 38 2 3" xfId="36500"/>
    <cellStyle name="常规(小) 2 38 2 4" xfId="36502"/>
    <cellStyle name="常规(小) 2 38 2 5" xfId="36504"/>
    <cellStyle name="常规(小) 2 38 2 6" xfId="36506"/>
    <cellStyle name="常规(小) 2 38 2 7" xfId="36508"/>
    <cellStyle name="常规(小) 2 38 2 8" xfId="36510"/>
    <cellStyle name="常规(小) 2 38 3" xfId="36512"/>
    <cellStyle name="常规(小) 2 38 3 2" xfId="36514"/>
    <cellStyle name="常规(小) 2 38 3 3" xfId="36516"/>
    <cellStyle name="常规(小) 2 38 3 4" xfId="36518"/>
    <cellStyle name="常规(小) 2 38 3 5" xfId="36520"/>
    <cellStyle name="常规(小) 2 38 3 6" xfId="36522"/>
    <cellStyle name="常规(小) 2 38 3 7" xfId="36524"/>
    <cellStyle name="常规(小) 2 38 3 8" xfId="36526"/>
    <cellStyle name="常规(小) 2 38 4" xfId="36528"/>
    <cellStyle name="常规(小) 2 38 5" xfId="36530"/>
    <cellStyle name="常规(小) 2 38 6" xfId="36532"/>
    <cellStyle name="常规(小) 2 38 7" xfId="36534"/>
    <cellStyle name="常规(小) 2 38 8" xfId="36536"/>
    <cellStyle name="常规(小) 2 38 9" xfId="36538"/>
    <cellStyle name="常规(小) 2 39" xfId="36540"/>
    <cellStyle name="常规(小) 2 39 10" xfId="36542"/>
    <cellStyle name="常规(小) 2 39 2" xfId="36544"/>
    <cellStyle name="常规(小) 2 39 2 2" xfId="36546"/>
    <cellStyle name="常规(小) 2 39 2 3" xfId="36548"/>
    <cellStyle name="常规(小) 2 39 2 4" xfId="36550"/>
    <cellStyle name="常规(小) 2 39 2 5" xfId="36552"/>
    <cellStyle name="常规(小) 2 39 2 6" xfId="36554"/>
    <cellStyle name="常规(小) 2 39 2 7" xfId="36556"/>
    <cellStyle name="常规(小) 2 39 2 8" xfId="36558"/>
    <cellStyle name="常规(小) 2 39 3" xfId="36560"/>
    <cellStyle name="常规(小) 2 39 3 2" xfId="36562"/>
    <cellStyle name="常规(小) 2 39 3 3" xfId="36564"/>
    <cellStyle name="常规(小) 2 39 3 4" xfId="36566"/>
    <cellStyle name="常规(小) 2 39 3 5" xfId="36568"/>
    <cellStyle name="常规(小) 2 39 3 6" xfId="36570"/>
    <cellStyle name="常规(小) 2 39 3 7" xfId="36572"/>
    <cellStyle name="常规(小) 2 39 3 8" xfId="36574"/>
    <cellStyle name="常规(小) 2 39 4" xfId="36576"/>
    <cellStyle name="常规(小) 2 39 5" xfId="36578"/>
    <cellStyle name="常规(小) 2 39 6" xfId="8365"/>
    <cellStyle name="常规(小) 2 39 7" xfId="8370"/>
    <cellStyle name="常规(小) 2 39 8" xfId="36580"/>
    <cellStyle name="常规(小) 2 39 9" xfId="36582"/>
    <cellStyle name="常规(小) 2 4" xfId="36584"/>
    <cellStyle name="常规(小) 2 4 10" xfId="36585"/>
    <cellStyle name="常规(小) 2 4 2" xfId="23522"/>
    <cellStyle name="常规(小) 2 4 2 2" xfId="36586"/>
    <cellStyle name="常规(小) 2 4 2 3" xfId="36587"/>
    <cellStyle name="常规(小) 2 4 2 4" xfId="36588"/>
    <cellStyle name="常规(小) 2 4 2 5" xfId="36589"/>
    <cellStyle name="常规(小) 2 4 2 6" xfId="36590"/>
    <cellStyle name="常规(小) 2 4 2 7" xfId="36591"/>
    <cellStyle name="常规(小) 2 4 2 8" xfId="36592"/>
    <cellStyle name="常规(小) 2 4 3" xfId="23525"/>
    <cellStyle name="常规(小) 2 4 3 2" xfId="36593"/>
    <cellStyle name="常规(小) 2 4 3 3" xfId="36594"/>
    <cellStyle name="常规(小) 2 4 3 4" xfId="36595"/>
    <cellStyle name="常规(小) 2 4 3 5" xfId="36596"/>
    <cellStyle name="常规(小) 2 4 3 6" xfId="36597"/>
    <cellStyle name="常规(小) 2 4 3 7" xfId="36598"/>
    <cellStyle name="常规(小) 2 4 3 8" xfId="36599"/>
    <cellStyle name="常规(小) 2 4 4" xfId="23528"/>
    <cellStyle name="常规(小) 2 4 5" xfId="23531"/>
    <cellStyle name="常规(小) 2 4 6" xfId="36600"/>
    <cellStyle name="常规(小) 2 4 7" xfId="36601"/>
    <cellStyle name="常规(小) 2 4 8" xfId="36602"/>
    <cellStyle name="常规(小) 2 4 9" xfId="36603"/>
    <cellStyle name="常规(小) 2 40" xfId="36353"/>
    <cellStyle name="常规(小) 2 40 10" xfId="3878"/>
    <cellStyle name="常规(小) 2 40 2" xfId="36355"/>
    <cellStyle name="常规(小) 2 40 2 2" xfId="36357"/>
    <cellStyle name="常规(小) 2 40 2 3" xfId="36359"/>
    <cellStyle name="常规(小) 2 40 2 4" xfId="36361"/>
    <cellStyle name="常规(小) 2 40 2 5" xfId="36363"/>
    <cellStyle name="常规(小) 2 40 2 6" xfId="36365"/>
    <cellStyle name="常规(小) 2 40 2 7" xfId="36367"/>
    <cellStyle name="常规(小) 2 40 2 8" xfId="36369"/>
    <cellStyle name="常规(小) 2 40 3" xfId="36371"/>
    <cellStyle name="常规(小) 2 40 3 2" xfId="36373"/>
    <cellStyle name="常规(小) 2 40 3 3" xfId="36375"/>
    <cellStyle name="常规(小) 2 40 3 4" xfId="36377"/>
    <cellStyle name="常规(小) 2 40 3 5" xfId="36379"/>
    <cellStyle name="常规(小) 2 40 3 6" xfId="36381"/>
    <cellStyle name="常规(小) 2 40 3 7" xfId="36383"/>
    <cellStyle name="常规(小) 2 40 3 8" xfId="36385"/>
    <cellStyle name="常规(小) 2 40 4" xfId="36387"/>
    <cellStyle name="常规(小) 2 40 5" xfId="36389"/>
    <cellStyle name="常规(小) 2 40 6" xfId="36391"/>
    <cellStyle name="常规(小) 2 40 7" xfId="36393"/>
    <cellStyle name="常规(小) 2 40 8" xfId="36395"/>
    <cellStyle name="常规(小) 2 40 9" xfId="36397"/>
    <cellStyle name="常规(小) 2 41" xfId="36399"/>
    <cellStyle name="常规(小) 2 41 10" xfId="3942"/>
    <cellStyle name="常规(小) 2 41 2" xfId="36401"/>
    <cellStyle name="常规(小) 2 41 2 2" xfId="36403"/>
    <cellStyle name="常规(小) 2 41 2 3" xfId="36405"/>
    <cellStyle name="常规(小) 2 41 2 4" xfId="36407"/>
    <cellStyle name="常规(小) 2 41 2 5" xfId="36409"/>
    <cellStyle name="常规(小) 2 41 2 6" xfId="36411"/>
    <cellStyle name="常规(小) 2 41 2 7" xfId="36413"/>
    <cellStyle name="常规(小) 2 41 2 8" xfId="36415"/>
    <cellStyle name="常规(小) 2 41 3" xfId="36417"/>
    <cellStyle name="常规(小) 2 41 3 2" xfId="36419"/>
    <cellStyle name="常规(小) 2 41 3 3" xfId="36421"/>
    <cellStyle name="常规(小) 2 41 3 4" xfId="36423"/>
    <cellStyle name="常规(小) 2 41 3 5" xfId="36425"/>
    <cellStyle name="常规(小) 2 41 3 6" xfId="36427"/>
    <cellStyle name="常规(小) 2 41 3 7" xfId="36429"/>
    <cellStyle name="常规(小) 2 41 3 8" xfId="36431"/>
    <cellStyle name="常规(小) 2 41 4" xfId="36433"/>
    <cellStyle name="常规(小) 2 41 5" xfId="36435"/>
    <cellStyle name="常规(小) 2 41 6" xfId="36437"/>
    <cellStyle name="常规(小) 2 41 7" xfId="36439"/>
    <cellStyle name="常规(小) 2 41 8" xfId="36441"/>
    <cellStyle name="常规(小) 2 41 9" xfId="36443"/>
    <cellStyle name="常规(小) 2 42" xfId="36445"/>
    <cellStyle name="常规(小) 2 42 10" xfId="36447"/>
    <cellStyle name="常规(小) 2 42 2" xfId="36449"/>
    <cellStyle name="常规(小) 2 42 2 2" xfId="36451"/>
    <cellStyle name="常规(小) 2 42 2 3" xfId="36453"/>
    <cellStyle name="常规(小) 2 42 2 4" xfId="36455"/>
    <cellStyle name="常规(小) 2 42 2 5" xfId="36457"/>
    <cellStyle name="常规(小) 2 42 2 6" xfId="36459"/>
    <cellStyle name="常规(小) 2 42 2 7" xfId="36461"/>
    <cellStyle name="常规(小) 2 42 2 8" xfId="36463"/>
    <cellStyle name="常规(小) 2 42 3" xfId="36465"/>
    <cellStyle name="常规(小) 2 42 3 2" xfId="36467"/>
    <cellStyle name="常规(小) 2 42 3 3" xfId="36469"/>
    <cellStyle name="常规(小) 2 42 3 4" xfId="36471"/>
    <cellStyle name="常规(小) 2 42 3 5" xfId="36473"/>
    <cellStyle name="常规(小) 2 42 3 6" xfId="36475"/>
    <cellStyle name="常规(小) 2 42 3 7" xfId="36477"/>
    <cellStyle name="常规(小) 2 42 3 8" xfId="36479"/>
    <cellStyle name="常规(小) 2 42 4" xfId="36481"/>
    <cellStyle name="常规(小) 2 42 5" xfId="36483"/>
    <cellStyle name="常规(小) 2 42 6" xfId="36485"/>
    <cellStyle name="常规(小) 2 42 7" xfId="36487"/>
    <cellStyle name="常规(小) 2 42 8" xfId="36489"/>
    <cellStyle name="常规(小) 2 42 9" xfId="36491"/>
    <cellStyle name="常规(小) 2 43" xfId="36493"/>
    <cellStyle name="常规(小) 2 43 10" xfId="36495"/>
    <cellStyle name="常规(小) 2 43 2" xfId="36497"/>
    <cellStyle name="常规(小) 2 43 2 2" xfId="36499"/>
    <cellStyle name="常规(小) 2 43 2 3" xfId="36501"/>
    <cellStyle name="常规(小) 2 43 2 4" xfId="36503"/>
    <cellStyle name="常规(小) 2 43 2 5" xfId="36505"/>
    <cellStyle name="常规(小) 2 43 2 6" xfId="36507"/>
    <cellStyle name="常规(小) 2 43 2 7" xfId="36509"/>
    <cellStyle name="常规(小) 2 43 2 8" xfId="36511"/>
    <cellStyle name="常规(小) 2 43 3" xfId="36513"/>
    <cellStyle name="常规(小) 2 43 3 2" xfId="36515"/>
    <cellStyle name="常规(小) 2 43 3 3" xfId="36517"/>
    <cellStyle name="常规(小) 2 43 3 4" xfId="36519"/>
    <cellStyle name="常规(小) 2 43 3 5" xfId="36521"/>
    <cellStyle name="常规(小) 2 43 3 6" xfId="36523"/>
    <cellStyle name="常规(小) 2 43 3 7" xfId="36525"/>
    <cellStyle name="常规(小) 2 43 3 8" xfId="36527"/>
    <cellStyle name="常规(小) 2 43 4" xfId="36529"/>
    <cellStyle name="常规(小) 2 43 5" xfId="36531"/>
    <cellStyle name="常规(小) 2 43 6" xfId="36533"/>
    <cellStyle name="常规(小) 2 43 7" xfId="36535"/>
    <cellStyle name="常规(小) 2 43 8" xfId="36537"/>
    <cellStyle name="常规(小) 2 43 9" xfId="36539"/>
    <cellStyle name="常规(小) 2 44" xfId="36541"/>
    <cellStyle name="常规(小) 2 44 10" xfId="36543"/>
    <cellStyle name="常规(小) 2 44 2" xfId="36545"/>
    <cellStyle name="常规(小) 2 44 2 2" xfId="36547"/>
    <cellStyle name="常规(小) 2 44 2 3" xfId="36549"/>
    <cellStyle name="常规(小) 2 44 2 4" xfId="36551"/>
    <cellStyle name="常规(小) 2 44 2 5" xfId="36553"/>
    <cellStyle name="常规(小) 2 44 2 6" xfId="36555"/>
    <cellStyle name="常规(小) 2 44 2 7" xfId="36557"/>
    <cellStyle name="常规(小) 2 44 2 8" xfId="36559"/>
    <cellStyle name="常规(小) 2 44 3" xfId="36561"/>
    <cellStyle name="常规(小) 2 44 3 2" xfId="36563"/>
    <cellStyle name="常规(小) 2 44 3 3" xfId="36565"/>
    <cellStyle name="常规(小) 2 44 3 4" xfId="36567"/>
    <cellStyle name="常规(小) 2 44 3 5" xfId="36569"/>
    <cellStyle name="常规(小) 2 44 3 6" xfId="36571"/>
    <cellStyle name="常规(小) 2 44 3 7" xfId="36573"/>
    <cellStyle name="常规(小) 2 44 3 8" xfId="36575"/>
    <cellStyle name="常规(小) 2 44 4" xfId="36577"/>
    <cellStyle name="常规(小) 2 44 5" xfId="36579"/>
    <cellStyle name="常规(小) 2 44 6" xfId="8364"/>
    <cellStyle name="常规(小) 2 44 7" xfId="8369"/>
    <cellStyle name="常规(小) 2 44 8" xfId="36581"/>
    <cellStyle name="常规(小) 2 44 9" xfId="36583"/>
    <cellStyle name="常规(小) 2 45" xfId="36604"/>
    <cellStyle name="常规(小) 2 45 10" xfId="36606"/>
    <cellStyle name="常规(小) 2 45 2" xfId="36608"/>
    <cellStyle name="常规(小) 2 45 2 2" xfId="36610"/>
    <cellStyle name="常规(小) 2 45 2 3" xfId="36612"/>
    <cellStyle name="常规(小) 2 45 2 4" xfId="36614"/>
    <cellStyle name="常规(小) 2 45 2 5" xfId="36616"/>
    <cellStyle name="常规(小) 2 45 2 6" xfId="36618"/>
    <cellStyle name="常规(小) 2 45 2 7" xfId="36620"/>
    <cellStyle name="常规(小) 2 45 2 8" xfId="36622"/>
    <cellStyle name="常规(小) 2 45 3" xfId="36624"/>
    <cellStyle name="常规(小) 2 45 3 2" xfId="36626"/>
    <cellStyle name="常规(小) 2 45 3 3" xfId="36628"/>
    <cellStyle name="常规(小) 2 45 3 4" xfId="36630"/>
    <cellStyle name="常规(小) 2 45 3 5" xfId="36632"/>
    <cellStyle name="常规(小) 2 45 3 6" xfId="36634"/>
    <cellStyle name="常规(小) 2 45 3 7" xfId="36636"/>
    <cellStyle name="常规(小) 2 45 3 8" xfId="36638"/>
    <cellStyle name="常规(小) 2 45 4" xfId="36640"/>
    <cellStyle name="常规(小) 2 45 5" xfId="36642"/>
    <cellStyle name="常规(小) 2 45 6" xfId="8376"/>
    <cellStyle name="常规(小) 2 45 7" xfId="8381"/>
    <cellStyle name="常规(小) 2 45 8" xfId="36644"/>
    <cellStyle name="常规(小) 2 45 9" xfId="36646"/>
    <cellStyle name="常规(小) 2 46" xfId="36648"/>
    <cellStyle name="常规(小) 2 46 10" xfId="36650"/>
    <cellStyle name="常规(小) 2 46 2" xfId="36653"/>
    <cellStyle name="常规(小) 2 46 2 2" xfId="36655"/>
    <cellStyle name="常规(小) 2 46 2 3" xfId="36657"/>
    <cellStyle name="常规(小) 2 46 2 4" xfId="36659"/>
    <cellStyle name="常规(小) 2 46 2 5" xfId="36661"/>
    <cellStyle name="常规(小) 2 46 2 6" xfId="36663"/>
    <cellStyle name="常规(小) 2 46 2 7" xfId="36665"/>
    <cellStyle name="常规(小) 2 46 2 8" xfId="36667"/>
    <cellStyle name="常规(小) 2 46 3" xfId="36669"/>
    <cellStyle name="常规(小) 2 46 3 2" xfId="36671"/>
    <cellStyle name="常规(小) 2 46 3 3" xfId="36673"/>
    <cellStyle name="常规(小) 2 46 3 4" xfId="36675"/>
    <cellStyle name="常规(小) 2 46 3 5" xfId="36677"/>
    <cellStyle name="常规(小) 2 46 3 6" xfId="36679"/>
    <cellStyle name="常规(小) 2 46 3 7" xfId="36681"/>
    <cellStyle name="常规(小) 2 46 3 8" xfId="36683"/>
    <cellStyle name="常规(小) 2 46 4" xfId="36685"/>
    <cellStyle name="常规(小) 2 46 5" xfId="36687"/>
    <cellStyle name="常规(小) 2 46 6" xfId="8387"/>
    <cellStyle name="常规(小) 2 46 7" xfId="8392"/>
    <cellStyle name="常规(小) 2 46 8" xfId="36689"/>
    <cellStyle name="常规(小) 2 46 9" xfId="36691"/>
    <cellStyle name="常规(小) 2 47" xfId="36693"/>
    <cellStyle name="常规(小) 2 47 10" xfId="36695"/>
    <cellStyle name="常规(小) 2 47 2" xfId="36697"/>
    <cellStyle name="常规(小) 2 47 2 2" xfId="36699"/>
    <cellStyle name="常规(小) 2 47 2 3" xfId="36701"/>
    <cellStyle name="常规(小) 2 47 2 4" xfId="36703"/>
    <cellStyle name="常规(小) 2 47 2 5" xfId="36705"/>
    <cellStyle name="常规(小) 2 47 2 6" xfId="36707"/>
    <cellStyle name="常规(小) 2 47 2 7" xfId="36709"/>
    <cellStyle name="常规(小) 2 47 2 8" xfId="36711"/>
    <cellStyle name="常规(小) 2 47 3" xfId="36713"/>
    <cellStyle name="常规(小) 2 47 3 2" xfId="36715"/>
    <cellStyle name="常规(小) 2 47 3 3" xfId="36717"/>
    <cellStyle name="常规(小) 2 47 3 4" xfId="36719"/>
    <cellStyle name="常规(小) 2 47 3 5" xfId="36721"/>
    <cellStyle name="常规(小) 2 47 3 6" xfId="36723"/>
    <cellStyle name="常规(小) 2 47 3 7" xfId="36725"/>
    <cellStyle name="常规(小) 2 47 3 8" xfId="36727"/>
    <cellStyle name="常规(小) 2 47 4" xfId="36729"/>
    <cellStyle name="常规(小) 2 47 5" xfId="36731"/>
    <cellStyle name="常规(小) 2 47 6" xfId="8398"/>
    <cellStyle name="常规(小) 2 47 7" xfId="8406"/>
    <cellStyle name="常规(小) 2 47 8" xfId="36733"/>
    <cellStyle name="常规(小) 2 47 9" xfId="36735"/>
    <cellStyle name="常规(小) 2 48" xfId="36737"/>
    <cellStyle name="常规(小) 2 48 10" xfId="36739"/>
    <cellStyle name="常规(小) 2 48 2" xfId="36741"/>
    <cellStyle name="常规(小) 2 48 2 2" xfId="36743"/>
    <cellStyle name="常规(小) 2 48 2 3" xfId="36745"/>
    <cellStyle name="常规(小) 2 48 2 4" xfId="36747"/>
    <cellStyle name="常规(小) 2 48 2 5" xfId="36749"/>
    <cellStyle name="常规(小) 2 48 2 6" xfId="36751"/>
    <cellStyle name="常规(小) 2 48 2 7" xfId="36753"/>
    <cellStyle name="常规(小) 2 48 2 8" xfId="36755"/>
    <cellStyle name="常规(小) 2 48 3" xfId="36757"/>
    <cellStyle name="常规(小) 2 48 3 2" xfId="36759"/>
    <cellStyle name="常规(小) 2 48 3 3" xfId="36761"/>
    <cellStyle name="常规(小) 2 48 3 4" xfId="36763"/>
    <cellStyle name="常规(小) 2 48 3 5" xfId="36765"/>
    <cellStyle name="常规(小) 2 48 3 6" xfId="36767"/>
    <cellStyle name="常规(小) 2 48 3 7" xfId="36769"/>
    <cellStyle name="常规(小) 2 48 3 8" xfId="36771"/>
    <cellStyle name="常规(小) 2 48 4" xfId="36773"/>
    <cellStyle name="常规(小) 2 48 5" xfId="36775"/>
    <cellStyle name="常规(小) 2 48 6" xfId="8414"/>
    <cellStyle name="常规(小) 2 48 7" xfId="8421"/>
    <cellStyle name="常规(小) 2 48 8" xfId="36777"/>
    <cellStyle name="常规(小) 2 48 9" xfId="36779"/>
    <cellStyle name="常规(小) 2 49" xfId="36781"/>
    <cellStyle name="常规(小) 2 49 10" xfId="36783"/>
    <cellStyle name="常规(小) 2 49 2" xfId="36785"/>
    <cellStyle name="常规(小) 2 49 2 2" xfId="36787"/>
    <cellStyle name="常规(小) 2 49 2 3" xfId="36789"/>
    <cellStyle name="常规(小) 2 49 2 4" xfId="36791"/>
    <cellStyle name="常规(小) 2 49 2 5" xfId="36793"/>
    <cellStyle name="常规(小) 2 49 2 6" xfId="36795"/>
    <cellStyle name="常规(小) 2 49 2 7" xfId="36797"/>
    <cellStyle name="常规(小) 2 49 2 8" xfId="36799"/>
    <cellStyle name="常规(小) 2 49 3" xfId="36801"/>
    <cellStyle name="常规(小) 2 49 3 2" xfId="36803"/>
    <cellStyle name="常规(小) 2 49 3 3" xfId="36805"/>
    <cellStyle name="常规(小) 2 49 3 4" xfId="36807"/>
    <cellStyle name="常规(小) 2 49 3 5" xfId="36809"/>
    <cellStyle name="常规(小) 2 49 3 6" xfId="36811"/>
    <cellStyle name="常规(小) 2 49 3 7" xfId="36813"/>
    <cellStyle name="常规(小) 2 49 3 8" xfId="36815"/>
    <cellStyle name="常规(小) 2 49 4" xfId="36817"/>
    <cellStyle name="常规(小) 2 49 5" xfId="36819"/>
    <cellStyle name="常规(小) 2 49 6" xfId="8428"/>
    <cellStyle name="常规(小) 2 49 7" xfId="8432"/>
    <cellStyle name="常规(小) 2 49 8" xfId="36821"/>
    <cellStyle name="常规(小) 2 49 9" xfId="36823"/>
    <cellStyle name="常规(小) 2 5" xfId="2437"/>
    <cellStyle name="常规(小) 2 5 10" xfId="36825"/>
    <cellStyle name="常规(小) 2 5 2" xfId="36826"/>
    <cellStyle name="常规(小) 2 5 2 2" xfId="36827"/>
    <cellStyle name="常规(小) 2 5 2 3" xfId="36828"/>
    <cellStyle name="常规(小) 2 5 2 4" xfId="9384"/>
    <cellStyle name="常规(小) 2 5 2 5" xfId="9442"/>
    <cellStyle name="常规(小) 2 5 2 6" xfId="9491"/>
    <cellStyle name="常规(小) 2 5 2 7" xfId="9500"/>
    <cellStyle name="常规(小) 2 5 2 8" xfId="9504"/>
    <cellStyle name="常规(小) 2 5 3" xfId="36829"/>
    <cellStyle name="常规(小) 2 5 3 2" xfId="36830"/>
    <cellStyle name="常规(小) 2 5 3 3" xfId="36831"/>
    <cellStyle name="常规(小) 2 5 3 4" xfId="36832"/>
    <cellStyle name="常规(小) 2 5 3 5" xfId="36833"/>
    <cellStyle name="常规(小) 2 5 3 6" xfId="36834"/>
    <cellStyle name="常规(小) 2 5 3 7" xfId="36835"/>
    <cellStyle name="常规(小) 2 5 3 8" xfId="36836"/>
    <cellStyle name="常规(小) 2 5 4" xfId="36837"/>
    <cellStyle name="常规(小) 2 5 5" xfId="36838"/>
    <cellStyle name="常规(小) 2 5 6" xfId="36839"/>
    <cellStyle name="常规(小) 2 5 7" xfId="36840"/>
    <cellStyle name="常规(小) 2 5 8" xfId="36841"/>
    <cellStyle name="常规(小) 2 5 9" xfId="36842"/>
    <cellStyle name="常规(小) 2 50" xfId="36605"/>
    <cellStyle name="常规(小) 2 50 10" xfId="36607"/>
    <cellStyle name="常规(小) 2 50 2" xfId="36609"/>
    <cellStyle name="常规(小) 2 50 2 2" xfId="36611"/>
    <cellStyle name="常规(小) 2 50 2 3" xfId="36613"/>
    <cellStyle name="常规(小) 2 50 2 4" xfId="36615"/>
    <cellStyle name="常规(小) 2 50 2 5" xfId="36617"/>
    <cellStyle name="常规(小) 2 50 2 6" xfId="36619"/>
    <cellStyle name="常规(小) 2 50 2 7" xfId="36621"/>
    <cellStyle name="常规(小) 2 50 2 8" xfId="36623"/>
    <cellStyle name="常规(小) 2 50 3" xfId="36625"/>
    <cellStyle name="常规(小) 2 50 3 2" xfId="36627"/>
    <cellStyle name="常规(小) 2 50 3 3" xfId="36629"/>
    <cellStyle name="常规(小) 2 50 3 4" xfId="36631"/>
    <cellStyle name="常规(小) 2 50 3 5" xfId="36633"/>
    <cellStyle name="常规(小) 2 50 3 6" xfId="36635"/>
    <cellStyle name="常规(小) 2 50 3 7" xfId="36637"/>
    <cellStyle name="常规(小) 2 50 3 8" xfId="36639"/>
    <cellStyle name="常规(小) 2 50 4" xfId="36641"/>
    <cellStyle name="常规(小) 2 50 5" xfId="36643"/>
    <cellStyle name="常规(小) 2 50 6" xfId="8375"/>
    <cellStyle name="常规(小) 2 50 7" xfId="8380"/>
    <cellStyle name="常规(小) 2 50 8" xfId="36645"/>
    <cellStyle name="常规(小) 2 50 9" xfId="36647"/>
    <cellStyle name="常规(小) 2 51" xfId="36649"/>
    <cellStyle name="常规(小) 2 51 10" xfId="36651"/>
    <cellStyle name="常规(小) 2 51 2" xfId="36654"/>
    <cellStyle name="常规(小) 2 51 2 2" xfId="36656"/>
    <cellStyle name="常规(小) 2 51 2 3" xfId="36658"/>
    <cellStyle name="常规(小) 2 51 2 4" xfId="36660"/>
    <cellStyle name="常规(小) 2 51 2 5" xfId="36662"/>
    <cellStyle name="常规(小) 2 51 2 6" xfId="36664"/>
    <cellStyle name="常规(小) 2 51 2 7" xfId="36666"/>
    <cellStyle name="常规(小) 2 51 2 8" xfId="36668"/>
    <cellStyle name="常规(小) 2 51 3" xfId="36670"/>
    <cellStyle name="常规(小) 2 51 3 2" xfId="36672"/>
    <cellStyle name="常规(小) 2 51 3 3" xfId="36674"/>
    <cellStyle name="常规(小) 2 51 3 4" xfId="36676"/>
    <cellStyle name="常规(小) 2 51 3 5" xfId="36678"/>
    <cellStyle name="常规(小) 2 51 3 6" xfId="36680"/>
    <cellStyle name="常规(小) 2 51 3 7" xfId="36682"/>
    <cellStyle name="常规(小) 2 51 3 8" xfId="36684"/>
    <cellStyle name="常规(小) 2 51 4" xfId="36686"/>
    <cellStyle name="常规(小) 2 51 5" xfId="36688"/>
    <cellStyle name="常规(小) 2 51 6" xfId="8386"/>
    <cellStyle name="常规(小) 2 51 7" xfId="8391"/>
    <cellStyle name="常规(小) 2 51 8" xfId="36690"/>
    <cellStyle name="常规(小) 2 51 9" xfId="36692"/>
    <cellStyle name="常规(小) 2 52" xfId="36694"/>
    <cellStyle name="常规(小) 2 52 10" xfId="36696"/>
    <cellStyle name="常规(小) 2 52 2" xfId="36698"/>
    <cellStyle name="常规(小) 2 52 2 2" xfId="36700"/>
    <cellStyle name="常规(小) 2 52 2 3" xfId="36702"/>
    <cellStyle name="常规(小) 2 52 2 4" xfId="36704"/>
    <cellStyle name="常规(小) 2 52 2 5" xfId="36706"/>
    <cellStyle name="常规(小) 2 52 2 6" xfId="36708"/>
    <cellStyle name="常规(小) 2 52 2 7" xfId="36710"/>
    <cellStyle name="常规(小) 2 52 2 8" xfId="36712"/>
    <cellStyle name="常规(小) 2 52 3" xfId="36714"/>
    <cellStyle name="常规(小) 2 52 3 2" xfId="36716"/>
    <cellStyle name="常规(小) 2 52 3 3" xfId="36718"/>
    <cellStyle name="常规(小) 2 52 3 4" xfId="36720"/>
    <cellStyle name="常规(小) 2 52 3 5" xfId="36722"/>
    <cellStyle name="常规(小) 2 52 3 6" xfId="36724"/>
    <cellStyle name="常规(小) 2 52 3 7" xfId="36726"/>
    <cellStyle name="常规(小) 2 52 3 8" xfId="36728"/>
    <cellStyle name="常规(小) 2 52 4" xfId="36730"/>
    <cellStyle name="常规(小) 2 52 5" xfId="36732"/>
    <cellStyle name="常规(小) 2 52 6" xfId="8397"/>
    <cellStyle name="常规(小) 2 52 7" xfId="8405"/>
    <cellStyle name="常规(小) 2 52 8" xfId="36734"/>
    <cellStyle name="常规(小) 2 52 9" xfId="36736"/>
    <cellStyle name="常规(小) 2 53" xfId="36738"/>
    <cellStyle name="常规(小) 2 53 10" xfId="36740"/>
    <cellStyle name="常规(小) 2 53 2" xfId="36742"/>
    <cellStyle name="常规(小) 2 53 2 2" xfId="36744"/>
    <cellStyle name="常规(小) 2 53 2 3" xfId="36746"/>
    <cellStyle name="常规(小) 2 53 2 4" xfId="36748"/>
    <cellStyle name="常规(小) 2 53 2 5" xfId="36750"/>
    <cellStyle name="常规(小) 2 53 2 6" xfId="36752"/>
    <cellStyle name="常规(小) 2 53 2 7" xfId="36754"/>
    <cellStyle name="常规(小) 2 53 2 8" xfId="36756"/>
    <cellStyle name="常规(小) 2 53 3" xfId="36758"/>
    <cellStyle name="常规(小) 2 53 3 2" xfId="36760"/>
    <cellStyle name="常规(小) 2 53 3 3" xfId="36762"/>
    <cellStyle name="常规(小) 2 53 3 4" xfId="36764"/>
    <cellStyle name="常规(小) 2 53 3 5" xfId="36766"/>
    <cellStyle name="常规(小) 2 53 3 6" xfId="36768"/>
    <cellStyle name="常规(小) 2 53 3 7" xfId="36770"/>
    <cellStyle name="常规(小) 2 53 3 8" xfId="36772"/>
    <cellStyle name="常规(小) 2 53 4" xfId="36774"/>
    <cellStyle name="常规(小) 2 53 5" xfId="36776"/>
    <cellStyle name="常规(小) 2 53 6" xfId="8413"/>
    <cellStyle name="常规(小) 2 53 7" xfId="8420"/>
    <cellStyle name="常规(小) 2 53 8" xfId="36778"/>
    <cellStyle name="常规(小) 2 53 9" xfId="36780"/>
    <cellStyle name="常规(小) 2 54" xfId="36782"/>
    <cellStyle name="常规(小) 2 54 10" xfId="36784"/>
    <cellStyle name="常规(小) 2 54 2" xfId="36786"/>
    <cellStyle name="常规(小) 2 54 2 2" xfId="36788"/>
    <cellStyle name="常规(小) 2 54 2 3" xfId="36790"/>
    <cellStyle name="常规(小) 2 54 2 4" xfId="36792"/>
    <cellStyle name="常规(小) 2 54 2 5" xfId="36794"/>
    <cellStyle name="常规(小) 2 54 2 6" xfId="36796"/>
    <cellStyle name="常规(小) 2 54 2 7" xfId="36798"/>
    <cellStyle name="常规(小) 2 54 2 8" xfId="36800"/>
    <cellStyle name="常规(小) 2 54 3" xfId="36802"/>
    <cellStyle name="常规(小) 2 54 3 2" xfId="36804"/>
    <cellStyle name="常规(小) 2 54 3 3" xfId="36806"/>
    <cellStyle name="常规(小) 2 54 3 4" xfId="36808"/>
    <cellStyle name="常规(小) 2 54 3 5" xfId="36810"/>
    <cellStyle name="常规(小) 2 54 3 6" xfId="36812"/>
    <cellStyle name="常规(小) 2 54 3 7" xfId="36814"/>
    <cellStyle name="常规(小) 2 54 3 8" xfId="36816"/>
    <cellStyle name="常规(小) 2 54 4" xfId="36818"/>
    <cellStyle name="常规(小) 2 54 5" xfId="36820"/>
    <cellStyle name="常规(小) 2 54 6" xfId="8427"/>
    <cellStyle name="常规(小) 2 54 7" xfId="8431"/>
    <cellStyle name="常规(小) 2 54 8" xfId="36822"/>
    <cellStyle name="常规(小) 2 54 9" xfId="36824"/>
    <cellStyle name="常规(小) 2 55" xfId="36843"/>
    <cellStyle name="常规(小) 2 55 10" xfId="36845"/>
    <cellStyle name="常规(小) 2 55 2" xfId="36847"/>
    <cellStyle name="常规(小) 2 55 2 2" xfId="36849"/>
    <cellStyle name="常规(小) 2 55 2 3" xfId="36851"/>
    <cellStyle name="常规(小) 2 55 2 4" xfId="36853"/>
    <cellStyle name="常规(小) 2 55 2 5" xfId="36855"/>
    <cellStyle name="常规(小) 2 55 2 6" xfId="36857"/>
    <cellStyle name="常规(小) 2 55 2 7" xfId="36859"/>
    <cellStyle name="常规(小) 2 55 2 8" xfId="36861"/>
    <cellStyle name="常规(小) 2 55 3" xfId="36863"/>
    <cellStyle name="常规(小) 2 55 3 2" xfId="36865"/>
    <cellStyle name="常规(小) 2 55 3 3" xfId="36867"/>
    <cellStyle name="常规(小) 2 55 3 4" xfId="36869"/>
    <cellStyle name="常规(小) 2 55 3 5" xfId="36871"/>
    <cellStyle name="常规(小) 2 55 3 6" xfId="1824"/>
    <cellStyle name="常规(小) 2 55 3 7" xfId="1835"/>
    <cellStyle name="常规(小) 2 55 3 8" xfId="36873"/>
    <cellStyle name="常规(小) 2 55 4" xfId="36875"/>
    <cellStyle name="常规(小) 2 55 5" xfId="36877"/>
    <cellStyle name="常规(小) 2 55 6" xfId="8437"/>
    <cellStyle name="常规(小) 2 55 7" xfId="8441"/>
    <cellStyle name="常规(小) 2 55 8" xfId="36879"/>
    <cellStyle name="常规(小) 2 55 9" xfId="36881"/>
    <cellStyle name="常规(小) 2 56" xfId="36883"/>
    <cellStyle name="常规(小) 2 56 10" xfId="1857"/>
    <cellStyle name="常规(小) 2 56 2" xfId="36885"/>
    <cellStyle name="常规(小) 2 56 2 2" xfId="36887"/>
    <cellStyle name="常规(小) 2 56 2 3" xfId="36889"/>
    <cellStyle name="常规(小) 2 56 2 4" xfId="36891"/>
    <cellStyle name="常规(小) 2 56 2 5" xfId="36893"/>
    <cellStyle name="常规(小) 2 56 2 6" xfId="36895"/>
    <cellStyle name="常规(小) 2 56 2 7" xfId="36897"/>
    <cellStyle name="常规(小) 2 56 2 8" xfId="36899"/>
    <cellStyle name="常规(小) 2 56 3" xfId="36901"/>
    <cellStyle name="常规(小) 2 56 3 2" xfId="36903"/>
    <cellStyle name="常规(小) 2 56 3 3" xfId="36905"/>
    <cellStyle name="常规(小) 2 56 3 4" xfId="36907"/>
    <cellStyle name="常规(小) 2 56 3 5" xfId="36909"/>
    <cellStyle name="常规(小) 2 56 3 6" xfId="36911"/>
    <cellStyle name="常规(小) 2 56 3 7" xfId="36913"/>
    <cellStyle name="常规(小) 2 56 3 8" xfId="36915"/>
    <cellStyle name="常规(小) 2 56 4" xfId="36917"/>
    <cellStyle name="常规(小) 2 56 5" xfId="36919"/>
    <cellStyle name="常规(小) 2 56 6" xfId="8446"/>
    <cellStyle name="常规(小) 2 56 7" xfId="8450"/>
    <cellStyle name="常规(小) 2 56 8" xfId="36921"/>
    <cellStyle name="常规(小) 2 56 9" xfId="36923"/>
    <cellStyle name="常规(小) 2 57" xfId="36925"/>
    <cellStyle name="常规(小) 2 57 10" xfId="36927"/>
    <cellStyle name="常规(小) 2 57 2" xfId="36929"/>
    <cellStyle name="常规(小) 2 57 2 2" xfId="36931"/>
    <cellStyle name="常规(小) 2 57 2 3" xfId="36933"/>
    <cellStyle name="常规(小) 2 57 2 4" xfId="36935"/>
    <cellStyle name="常规(小) 2 57 2 5" xfId="36937"/>
    <cellStyle name="常规(小) 2 57 2 6" xfId="36939"/>
    <cellStyle name="常规(小) 2 57 2 7" xfId="36941"/>
    <cellStyle name="常规(小) 2 57 2 8" xfId="36943"/>
    <cellStyle name="常规(小) 2 57 3" xfId="36945"/>
    <cellStyle name="常规(小) 2 57 3 2" xfId="36947"/>
    <cellStyle name="常规(小) 2 57 3 3" xfId="36949"/>
    <cellStyle name="常规(小) 2 57 3 4" xfId="36951"/>
    <cellStyle name="常规(小) 2 57 3 5" xfId="36953"/>
    <cellStyle name="常规(小) 2 57 3 6" xfId="36955"/>
    <cellStyle name="常规(小) 2 57 3 7" xfId="36957"/>
    <cellStyle name="常规(小) 2 57 3 8" xfId="36959"/>
    <cellStyle name="常规(小) 2 57 4" xfId="36961"/>
    <cellStyle name="常规(小) 2 57 5" xfId="36963"/>
    <cellStyle name="常规(小) 2 57 6" xfId="36965"/>
    <cellStyle name="常规(小) 2 57 7" xfId="36967"/>
    <cellStyle name="常规(小) 2 57 8" xfId="36969"/>
    <cellStyle name="常规(小) 2 57 9" xfId="36971"/>
    <cellStyle name="常规(小) 2 58" xfId="36973"/>
    <cellStyle name="常规(小) 2 58 10" xfId="36975"/>
    <cellStyle name="常规(小) 2 58 2" xfId="36977"/>
    <cellStyle name="常规(小) 2 58 2 2" xfId="36979"/>
    <cellStyle name="常规(小) 2 58 2 3" xfId="36981"/>
    <cellStyle name="常规(小) 2 58 2 4" xfId="36983"/>
    <cellStyle name="常规(小) 2 58 2 5" xfId="36985"/>
    <cellStyle name="常规(小) 2 58 2 6" xfId="36987"/>
    <cellStyle name="常规(小) 2 58 2 7" xfId="36989"/>
    <cellStyle name="常规(小) 2 58 2 8" xfId="36991"/>
    <cellStyle name="常规(小) 2 58 3" xfId="36993"/>
    <cellStyle name="常规(小) 2 58 3 2" xfId="36995"/>
    <cellStyle name="常规(小) 2 58 3 3" xfId="36997"/>
    <cellStyle name="常规(小) 2 58 3 4" xfId="36999"/>
    <cellStyle name="常规(小) 2 58 3 5" xfId="37001"/>
    <cellStyle name="常规(小) 2 58 3 6" xfId="37003"/>
    <cellStyle name="常规(小) 2 58 3 7" xfId="37005"/>
    <cellStyle name="常规(小) 2 58 3 8" xfId="37007"/>
    <cellStyle name="常规(小) 2 58 4" xfId="37009"/>
    <cellStyle name="常规(小) 2 58 5" xfId="37011"/>
    <cellStyle name="常规(小) 2 58 6" xfId="37013"/>
    <cellStyle name="常规(小) 2 58 7" xfId="37015"/>
    <cellStyle name="常规(小) 2 58 8" xfId="37017"/>
    <cellStyle name="常规(小) 2 58 9" xfId="37019"/>
    <cellStyle name="常规(小) 2 59" xfId="37021"/>
    <cellStyle name="常规(小) 2 59 10" xfId="37023"/>
    <cellStyle name="常规(小) 2 59 2" xfId="37025"/>
    <cellStyle name="常规(小) 2 59 2 2" xfId="37027"/>
    <cellStyle name="常规(小) 2 59 2 3" xfId="37029"/>
    <cellStyle name="常规(小) 2 59 2 4" xfId="37031"/>
    <cellStyle name="常规(小) 2 59 2 5" xfId="37033"/>
    <cellStyle name="常规(小) 2 59 2 6" xfId="37035"/>
    <cellStyle name="常规(小) 2 59 2 7" xfId="37037"/>
    <cellStyle name="常规(小) 2 59 2 8" xfId="37039"/>
    <cellStyle name="常规(小) 2 59 3" xfId="37041"/>
    <cellStyle name="常规(小) 2 59 3 2" xfId="37043"/>
    <cellStyle name="常规(小) 2 59 3 3" xfId="37045"/>
    <cellStyle name="常规(小) 2 59 3 4" xfId="37047"/>
    <cellStyle name="常规(小) 2 59 3 5" xfId="37049"/>
    <cellStyle name="常规(小) 2 59 3 6" xfId="37051"/>
    <cellStyle name="常规(小) 2 59 3 7" xfId="37053"/>
    <cellStyle name="常规(小) 2 59 3 8" xfId="37055"/>
    <cellStyle name="常规(小) 2 59 4" xfId="37057"/>
    <cellStyle name="常规(小) 2 59 5" xfId="37059"/>
    <cellStyle name="常规(小) 2 59 6" xfId="37061"/>
    <cellStyle name="常规(小) 2 59 7" xfId="37063"/>
    <cellStyle name="常规(小) 2 59 8" xfId="37065"/>
    <cellStyle name="常规(小) 2 59 9" xfId="37067"/>
    <cellStyle name="常规(小) 2 6" xfId="2442"/>
    <cellStyle name="常规(小) 2 6 10" xfId="37069"/>
    <cellStyle name="常规(小) 2 6 2" xfId="37070"/>
    <cellStyle name="常规(小) 2 6 2 2" xfId="37071"/>
    <cellStyle name="常规(小) 2 6 2 3" xfId="37072"/>
    <cellStyle name="常规(小) 2 6 2 4" xfId="37073"/>
    <cellStyle name="常规(小) 2 6 2 5" xfId="37074"/>
    <cellStyle name="常规(小) 2 6 2 6" xfId="37075"/>
    <cellStyle name="常规(小) 2 6 2 7" xfId="37076"/>
    <cellStyle name="常规(小) 2 6 2 8" xfId="37077"/>
    <cellStyle name="常规(小) 2 6 3" xfId="37078"/>
    <cellStyle name="常规(小) 2 6 3 2" xfId="37079"/>
    <cellStyle name="常规(小) 2 6 3 3" xfId="37080"/>
    <cellStyle name="常规(小) 2 6 3 4" xfId="37081"/>
    <cellStyle name="常规(小) 2 6 3 5" xfId="37082"/>
    <cellStyle name="常规(小) 2 6 3 6" xfId="37083"/>
    <cellStyle name="常规(小) 2 6 3 7" xfId="37084"/>
    <cellStyle name="常规(小) 2 6 3 8" xfId="37085"/>
    <cellStyle name="常规(小) 2 6 4" xfId="37086"/>
    <cellStyle name="常规(小) 2 6 5" xfId="37087"/>
    <cellStyle name="常规(小) 2 6 6" xfId="37088"/>
    <cellStyle name="常规(小) 2 6 7" xfId="37089"/>
    <cellStyle name="常规(小) 2 6 8" xfId="37090"/>
    <cellStyle name="常规(小) 2 6 9" xfId="37091"/>
    <cellStyle name="常规(小) 2 60" xfId="36844"/>
    <cellStyle name="常规(小) 2 60 10" xfId="36846"/>
    <cellStyle name="常规(小) 2 60 2" xfId="36848"/>
    <cellStyle name="常规(小) 2 60 2 2" xfId="36850"/>
    <cellStyle name="常规(小) 2 60 2 3" xfId="36852"/>
    <cellStyle name="常规(小) 2 60 2 4" xfId="36854"/>
    <cellStyle name="常规(小) 2 60 2 5" xfId="36856"/>
    <cellStyle name="常规(小) 2 60 2 6" xfId="36858"/>
    <cellStyle name="常规(小) 2 60 2 7" xfId="36860"/>
    <cellStyle name="常规(小) 2 60 2 8" xfId="36862"/>
    <cellStyle name="常规(小) 2 60 3" xfId="36864"/>
    <cellStyle name="常规(小) 2 60 3 2" xfId="36866"/>
    <cellStyle name="常规(小) 2 60 3 3" xfId="36868"/>
    <cellStyle name="常规(小) 2 60 3 4" xfId="36870"/>
    <cellStyle name="常规(小) 2 60 3 5" xfId="36872"/>
    <cellStyle name="常规(小) 2 60 3 6" xfId="1825"/>
    <cellStyle name="常规(小) 2 60 3 7" xfId="1836"/>
    <cellStyle name="常规(小) 2 60 3 8" xfId="36874"/>
    <cellStyle name="常规(小) 2 60 4" xfId="36876"/>
    <cellStyle name="常规(小) 2 60 5" xfId="36878"/>
    <cellStyle name="常规(小) 2 60 6" xfId="8436"/>
    <cellStyle name="常规(小) 2 60 7" xfId="8440"/>
    <cellStyle name="常规(小) 2 60 8" xfId="36880"/>
    <cellStyle name="常规(小) 2 60 9" xfId="36882"/>
    <cellStyle name="常规(小) 2 61" xfId="36884"/>
    <cellStyle name="常规(小) 2 61 10" xfId="1858"/>
    <cellStyle name="常规(小) 2 61 2" xfId="36886"/>
    <cellStyle name="常规(小) 2 61 2 2" xfId="36888"/>
    <cellStyle name="常规(小) 2 61 2 3" xfId="36890"/>
    <cellStyle name="常规(小) 2 61 2 4" xfId="36892"/>
    <cellStyle name="常规(小) 2 61 2 5" xfId="36894"/>
    <cellStyle name="常规(小) 2 61 2 6" xfId="36896"/>
    <cellStyle name="常规(小) 2 61 2 7" xfId="36898"/>
    <cellStyle name="常规(小) 2 61 2 8" xfId="36900"/>
    <cellStyle name="常规(小) 2 61 3" xfId="36902"/>
    <cellStyle name="常规(小) 2 61 3 2" xfId="36904"/>
    <cellStyle name="常规(小) 2 61 3 3" xfId="36906"/>
    <cellStyle name="常规(小) 2 61 3 4" xfId="36908"/>
    <cellStyle name="常规(小) 2 61 3 5" xfId="36910"/>
    <cellStyle name="常规(小) 2 61 3 6" xfId="36912"/>
    <cellStyle name="常规(小) 2 61 3 7" xfId="36914"/>
    <cellStyle name="常规(小) 2 61 3 8" xfId="36916"/>
    <cellStyle name="常规(小) 2 61 4" xfId="36918"/>
    <cellStyle name="常规(小) 2 61 5" xfId="36920"/>
    <cellStyle name="常规(小) 2 61 6" xfId="8445"/>
    <cellStyle name="常规(小) 2 61 7" xfId="8449"/>
    <cellStyle name="常规(小) 2 61 8" xfId="36922"/>
    <cellStyle name="常规(小) 2 61 9" xfId="36924"/>
    <cellStyle name="常规(小) 2 62" xfId="36926"/>
    <cellStyle name="常规(小) 2 62 10" xfId="36928"/>
    <cellStyle name="常规(小) 2 62 2" xfId="36930"/>
    <cellStyle name="常规(小) 2 62 2 2" xfId="36932"/>
    <cellStyle name="常规(小) 2 62 2 3" xfId="36934"/>
    <cellStyle name="常规(小) 2 62 2 4" xfId="36936"/>
    <cellStyle name="常规(小) 2 62 2 5" xfId="36938"/>
    <cellStyle name="常规(小) 2 62 2 6" xfId="36940"/>
    <cellStyle name="常规(小) 2 62 2 7" xfId="36942"/>
    <cellStyle name="常规(小) 2 62 2 8" xfId="36944"/>
    <cellStyle name="常规(小) 2 62 3" xfId="36946"/>
    <cellStyle name="常规(小) 2 62 3 2" xfId="36948"/>
    <cellStyle name="常规(小) 2 62 3 3" xfId="36950"/>
    <cellStyle name="常规(小) 2 62 3 4" xfId="36952"/>
    <cellStyle name="常规(小) 2 62 3 5" xfId="36954"/>
    <cellStyle name="常规(小) 2 62 3 6" xfId="36956"/>
    <cellStyle name="常规(小) 2 62 3 7" xfId="36958"/>
    <cellStyle name="常规(小) 2 62 3 8" xfId="36960"/>
    <cellStyle name="常规(小) 2 62 4" xfId="36962"/>
    <cellStyle name="常规(小) 2 62 5" xfId="36964"/>
    <cellStyle name="常规(小) 2 62 6" xfId="36966"/>
    <cellStyle name="常规(小) 2 62 7" xfId="36968"/>
    <cellStyle name="常规(小) 2 62 8" xfId="36970"/>
    <cellStyle name="常规(小) 2 62 9" xfId="36972"/>
    <cellStyle name="常规(小) 2 63" xfId="36974"/>
    <cellStyle name="常规(小) 2 63 10" xfId="36976"/>
    <cellStyle name="常规(小) 2 63 2" xfId="36978"/>
    <cellStyle name="常规(小) 2 63 2 2" xfId="36980"/>
    <cellStyle name="常规(小) 2 63 2 3" xfId="36982"/>
    <cellStyle name="常规(小) 2 63 2 4" xfId="36984"/>
    <cellStyle name="常规(小) 2 63 2 5" xfId="36986"/>
    <cellStyle name="常规(小) 2 63 2 6" xfId="36988"/>
    <cellStyle name="常规(小) 2 63 2 7" xfId="36990"/>
    <cellStyle name="常规(小) 2 63 2 8" xfId="36992"/>
    <cellStyle name="常规(小) 2 63 3" xfId="36994"/>
    <cellStyle name="常规(小) 2 63 3 2" xfId="36996"/>
    <cellStyle name="常规(小) 2 63 3 3" xfId="36998"/>
    <cellStyle name="常规(小) 2 63 3 4" xfId="37000"/>
    <cellStyle name="常规(小) 2 63 3 5" xfId="37002"/>
    <cellStyle name="常规(小) 2 63 3 6" xfId="37004"/>
    <cellStyle name="常规(小) 2 63 3 7" xfId="37006"/>
    <cellStyle name="常规(小) 2 63 3 8" xfId="37008"/>
    <cellStyle name="常规(小) 2 63 4" xfId="37010"/>
    <cellStyle name="常规(小) 2 63 5" xfId="37012"/>
    <cellStyle name="常规(小) 2 63 6" xfId="37014"/>
    <cellStyle name="常规(小) 2 63 7" xfId="37016"/>
    <cellStyle name="常规(小) 2 63 8" xfId="37018"/>
    <cellStyle name="常规(小) 2 63 9" xfId="37020"/>
    <cellStyle name="常规(小) 2 64" xfId="37022"/>
    <cellStyle name="常规(小) 2 64 10" xfId="37024"/>
    <cellStyle name="常规(小) 2 64 2" xfId="37026"/>
    <cellStyle name="常规(小) 2 64 2 2" xfId="37028"/>
    <cellStyle name="常规(小) 2 64 2 3" xfId="37030"/>
    <cellStyle name="常规(小) 2 64 2 4" xfId="37032"/>
    <cellStyle name="常规(小) 2 64 2 5" xfId="37034"/>
    <cellStyle name="常规(小) 2 64 2 6" xfId="37036"/>
    <cellStyle name="常规(小) 2 64 2 7" xfId="37038"/>
    <cellStyle name="常规(小) 2 64 2 8" xfId="37040"/>
    <cellStyle name="常规(小) 2 64 3" xfId="37042"/>
    <cellStyle name="常规(小) 2 64 3 2" xfId="37044"/>
    <cellStyle name="常规(小) 2 64 3 3" xfId="37046"/>
    <cellStyle name="常规(小) 2 64 3 4" xfId="37048"/>
    <cellStyle name="常规(小) 2 64 3 5" xfId="37050"/>
    <cellStyle name="常规(小) 2 64 3 6" xfId="37052"/>
    <cellStyle name="常规(小) 2 64 3 7" xfId="37054"/>
    <cellStyle name="常规(小) 2 64 3 8" xfId="37056"/>
    <cellStyle name="常规(小) 2 64 4" xfId="37058"/>
    <cellStyle name="常规(小) 2 64 5" xfId="37060"/>
    <cellStyle name="常规(小) 2 64 6" xfId="37062"/>
    <cellStyle name="常规(小) 2 64 7" xfId="37064"/>
    <cellStyle name="常规(小) 2 64 8" xfId="37066"/>
    <cellStyle name="常规(小) 2 64 9" xfId="37068"/>
    <cellStyle name="常规(小) 2 65" xfId="37092"/>
    <cellStyle name="常规(小) 2 65 10" xfId="37094"/>
    <cellStyle name="常规(小) 2 65 2" xfId="37095"/>
    <cellStyle name="常规(小) 2 65 2 2" xfId="37096"/>
    <cellStyle name="常规(小) 2 65 2 3" xfId="37097"/>
    <cellStyle name="常规(小) 2 65 2 4" xfId="37098"/>
    <cellStyle name="常规(小) 2 65 2 5" xfId="37099"/>
    <cellStyle name="常规(小) 2 65 2 6" xfId="37100"/>
    <cellStyle name="常规(小) 2 65 2 7" xfId="37101"/>
    <cellStyle name="常规(小) 2 65 2 8" xfId="37102"/>
    <cellStyle name="常规(小) 2 65 3" xfId="37103"/>
    <cellStyle name="常规(小) 2 65 3 2" xfId="37104"/>
    <cellStyle name="常规(小) 2 65 3 3" xfId="37105"/>
    <cellStyle name="常规(小) 2 65 3 4" xfId="37106"/>
    <cellStyle name="常规(小) 2 65 3 5" xfId="37107"/>
    <cellStyle name="常规(小) 2 65 3 6" xfId="37108"/>
    <cellStyle name="常规(小) 2 65 3 7" xfId="37109"/>
    <cellStyle name="常规(小) 2 65 3 8" xfId="37110"/>
    <cellStyle name="常规(小) 2 65 4" xfId="37111"/>
    <cellStyle name="常规(小) 2 65 5" xfId="37112"/>
    <cellStyle name="常规(小) 2 65 6" xfId="37113"/>
    <cellStyle name="常规(小) 2 65 7" xfId="37114"/>
    <cellStyle name="常规(小) 2 65 8" xfId="37115"/>
    <cellStyle name="常规(小) 2 65 9" xfId="37116"/>
    <cellStyle name="常规(小) 2 66" xfId="37117"/>
    <cellStyle name="常规(小) 2 66 2" xfId="37119"/>
    <cellStyle name="常规(小) 2 66 3" xfId="37120"/>
    <cellStyle name="常规(小) 2 66 4" xfId="37121"/>
    <cellStyle name="常规(小) 2 66 5" xfId="37122"/>
    <cellStyle name="常规(小) 2 66 6" xfId="37123"/>
    <cellStyle name="常规(小) 2 66 7" xfId="37124"/>
    <cellStyle name="常规(小) 2 66 8" xfId="37125"/>
    <cellStyle name="常规(小) 2 67" xfId="37126"/>
    <cellStyle name="常规(小) 2 67 2" xfId="37128"/>
    <cellStyle name="常规(小) 2 67 3" xfId="37129"/>
    <cellStyle name="常规(小) 2 67 4" xfId="37130"/>
    <cellStyle name="常规(小) 2 67 5" xfId="37131"/>
    <cellStyle name="常规(小) 2 67 6" xfId="37132"/>
    <cellStyle name="常规(小) 2 67 7" xfId="37133"/>
    <cellStyle name="常规(小) 2 67 8" xfId="37134"/>
    <cellStyle name="常规(小) 2 68" xfId="37135"/>
    <cellStyle name="常规(小) 2 69" xfId="37137"/>
    <cellStyle name="常规(小) 2 7" xfId="2449"/>
    <cellStyle name="常规(小) 2 7 10" xfId="37139"/>
    <cellStyle name="常规(小) 2 7 2" xfId="37140"/>
    <cellStyle name="常规(小) 2 7 2 2" xfId="37141"/>
    <cellStyle name="常规(小) 2 7 2 3" xfId="37142"/>
    <cellStyle name="常规(小) 2 7 2 4" xfId="37143"/>
    <cellStyle name="常规(小) 2 7 2 5" xfId="37144"/>
    <cellStyle name="常规(小) 2 7 2 6" xfId="37145"/>
    <cellStyle name="常规(小) 2 7 2 7" xfId="37146"/>
    <cellStyle name="常规(小) 2 7 2 8" xfId="37147"/>
    <cellStyle name="常规(小) 2 7 3" xfId="37148"/>
    <cellStyle name="常规(小) 2 7 3 2" xfId="37149"/>
    <cellStyle name="常规(小) 2 7 3 3" xfId="37150"/>
    <cellStyle name="常规(小) 2 7 3 4" xfId="37151"/>
    <cellStyle name="常规(小) 2 7 3 5" xfId="37152"/>
    <cellStyle name="常规(小) 2 7 3 6" xfId="37153"/>
    <cellStyle name="常规(小) 2 7 3 7" xfId="37154"/>
    <cellStyle name="常规(小) 2 7 3 8" xfId="37155"/>
    <cellStyle name="常规(小) 2 7 4" xfId="37156"/>
    <cellStyle name="常规(小) 2 7 5" xfId="37157"/>
    <cellStyle name="常规(小) 2 7 6" xfId="37158"/>
    <cellStyle name="常规(小) 2 7 7" xfId="37159"/>
    <cellStyle name="常规(小) 2 7 8" xfId="37160"/>
    <cellStyle name="常规(小) 2 7 9" xfId="37161"/>
    <cellStyle name="常规(小) 2 70" xfId="37093"/>
    <cellStyle name="常规(小) 2 71" xfId="37118"/>
    <cellStyle name="常规(小) 2 72" xfId="37127"/>
    <cellStyle name="常规(小) 2 73" xfId="37136"/>
    <cellStyle name="常规(小) 2 74" xfId="37138"/>
    <cellStyle name="常规(小) 2 8" xfId="2457"/>
    <cellStyle name="常规(小) 2 8 10" xfId="37162"/>
    <cellStyle name="常规(小) 2 8 2" xfId="26065"/>
    <cellStyle name="常规(小) 2 8 2 2" xfId="37163"/>
    <cellStyle name="常规(小) 2 8 2 3" xfId="37164"/>
    <cellStyle name="常规(小) 2 8 2 4" xfId="37165"/>
    <cellStyle name="常规(小) 2 8 2 5" xfId="37166"/>
    <cellStyle name="常规(小) 2 8 2 6" xfId="37167"/>
    <cellStyle name="常规(小) 2 8 2 7" xfId="37168"/>
    <cellStyle name="常规(小) 2 8 2 8" xfId="37169"/>
    <cellStyle name="常规(小) 2 8 3" xfId="26068"/>
    <cellStyle name="常规(小) 2 8 3 2" xfId="37170"/>
    <cellStyle name="常规(小) 2 8 3 3" xfId="37171"/>
    <cellStyle name="常规(小) 2 8 3 4" xfId="37172"/>
    <cellStyle name="常规(小) 2 8 3 5" xfId="37173"/>
    <cellStyle name="常规(小) 2 8 3 6" xfId="37174"/>
    <cellStyle name="常规(小) 2 8 3 7" xfId="37175"/>
    <cellStyle name="常规(小) 2 8 3 8" xfId="37176"/>
    <cellStyle name="常规(小) 2 8 4" xfId="26071"/>
    <cellStyle name="常规(小) 2 8 5" xfId="26074"/>
    <cellStyle name="常规(小) 2 8 6" xfId="37177"/>
    <cellStyle name="常规(小) 2 8 7" xfId="37178"/>
    <cellStyle name="常规(小) 2 8 8" xfId="37179"/>
    <cellStyle name="常规(小) 2 8 9" xfId="37180"/>
    <cellStyle name="常规(小) 2 9" xfId="2465"/>
    <cellStyle name="常规(小) 2 9 10" xfId="37181"/>
    <cellStyle name="常规(小) 2 9 2" xfId="26083"/>
    <cellStyle name="常规(小) 2 9 2 2" xfId="37182"/>
    <cellStyle name="常规(小) 2 9 2 3" xfId="37183"/>
    <cellStyle name="常规(小) 2 9 2 4" xfId="37184"/>
    <cellStyle name="常规(小) 2 9 2 5" xfId="37185"/>
    <cellStyle name="常规(小) 2 9 2 6" xfId="37186"/>
    <cellStyle name="常规(小) 2 9 2 7" xfId="37187"/>
    <cellStyle name="常规(小) 2 9 2 8" xfId="37188"/>
    <cellStyle name="常规(小) 2 9 3" xfId="2523"/>
    <cellStyle name="常规(小) 2 9 3 2" xfId="37189"/>
    <cellStyle name="常规(小) 2 9 3 3" xfId="37190"/>
    <cellStyle name="常规(小) 2 9 3 4" xfId="37191"/>
    <cellStyle name="常规(小) 2 9 3 5" xfId="37192"/>
    <cellStyle name="常规(小) 2 9 3 6" xfId="37193"/>
    <cellStyle name="常规(小) 2 9 3 7" xfId="37194"/>
    <cellStyle name="常规(小) 2 9 3 8" xfId="37195"/>
    <cellStyle name="常规(小) 2 9 4" xfId="26086"/>
    <cellStyle name="常规(小) 2 9 5" xfId="26089"/>
    <cellStyle name="常规(小) 2 9 6" xfId="37196"/>
    <cellStyle name="常规(小) 2 9 7" xfId="37197"/>
    <cellStyle name="常规(小) 2 9 8" xfId="37198"/>
    <cellStyle name="常规(小) 2 9 9" xfId="37199"/>
    <cellStyle name="常规(小) 20" xfId="35596"/>
    <cellStyle name="常规(小) 20 10" xfId="34277"/>
    <cellStyle name="常规(小) 20 2" xfId="34187"/>
    <cellStyle name="常规(小) 20 2 2" xfId="34190"/>
    <cellStyle name="常规(小) 20 2 3" xfId="19788"/>
    <cellStyle name="常规(小) 20 2 4" xfId="19796"/>
    <cellStyle name="常规(小) 20 2 5" xfId="19803"/>
    <cellStyle name="常规(小) 20 2 6" xfId="19810"/>
    <cellStyle name="常规(小) 20 2 7" xfId="19817"/>
    <cellStyle name="常规(小) 20 2 8" xfId="19821"/>
    <cellStyle name="常规(小) 20 3" xfId="34194"/>
    <cellStyle name="常规(小) 20 3 2" xfId="35598"/>
    <cellStyle name="常规(小) 20 3 3" xfId="35600"/>
    <cellStyle name="常规(小) 20 3 4" xfId="35602"/>
    <cellStyle name="常规(小) 20 3 5" xfId="35604"/>
    <cellStyle name="常规(小) 20 3 6" xfId="35606"/>
    <cellStyle name="常规(小) 20 3 7" xfId="35608"/>
    <cellStyle name="常规(小) 20 3 8" xfId="35610"/>
    <cellStyle name="常规(小) 20 4" xfId="34198"/>
    <cellStyle name="常规(小) 20 5" xfId="34202"/>
    <cellStyle name="常规(小) 20 6" xfId="34224"/>
    <cellStyle name="常规(小) 20 7" xfId="34227"/>
    <cellStyle name="常规(小) 20 8" xfId="35612"/>
    <cellStyle name="常规(小) 20 9" xfId="35614"/>
    <cellStyle name="常规(小) 21" xfId="35616"/>
    <cellStyle name="常规(小) 21 10" xfId="35618"/>
    <cellStyle name="常规(小) 21 2" xfId="35620"/>
    <cellStyle name="常规(小) 21 2 2" xfId="35622"/>
    <cellStyle name="常规(小) 21 2 3" xfId="19849"/>
    <cellStyle name="常规(小) 21 2 4" xfId="19856"/>
    <cellStyle name="常规(小) 21 2 5" xfId="19863"/>
    <cellStyle name="常规(小) 21 2 6" xfId="19870"/>
    <cellStyle name="常规(小) 21 2 7" xfId="19877"/>
    <cellStyle name="常规(小) 21 2 8" xfId="19881"/>
    <cellStyle name="常规(小) 21 3" xfId="35624"/>
    <cellStyle name="常规(小) 21 3 2" xfId="35626"/>
    <cellStyle name="常规(小) 21 3 3" xfId="35628"/>
    <cellStyle name="常规(小) 21 3 4" xfId="35630"/>
    <cellStyle name="常规(小) 21 3 5" xfId="35632"/>
    <cellStyle name="常规(小) 21 3 6" xfId="35634"/>
    <cellStyle name="常规(小) 21 3 7" xfId="35636"/>
    <cellStyle name="常规(小) 21 3 8" xfId="35638"/>
    <cellStyle name="常规(小) 21 4" xfId="35640"/>
    <cellStyle name="常规(小) 21 5" xfId="35642"/>
    <cellStyle name="常规(小) 21 6" xfId="35644"/>
    <cellStyle name="常规(小) 21 7" xfId="35646"/>
    <cellStyle name="常规(小) 21 8" xfId="35648"/>
    <cellStyle name="常规(小) 21 9" xfId="35650"/>
    <cellStyle name="常规(小) 22" xfId="35652"/>
    <cellStyle name="常规(小) 22 10" xfId="35654"/>
    <cellStyle name="常规(小) 22 2" xfId="35656"/>
    <cellStyle name="常规(小) 22 2 2" xfId="35658"/>
    <cellStyle name="常规(小) 22 2 3" xfId="14015"/>
    <cellStyle name="常规(小) 22 2 4" xfId="14046"/>
    <cellStyle name="常规(小) 22 2 5" xfId="14078"/>
    <cellStyle name="常规(小) 22 2 6" xfId="14087"/>
    <cellStyle name="常规(小) 22 2 7" xfId="14096"/>
    <cellStyle name="常规(小) 22 2 8" xfId="14102"/>
    <cellStyle name="常规(小) 22 3" xfId="35660"/>
    <cellStyle name="常规(小) 22 3 2" xfId="35662"/>
    <cellStyle name="常规(小) 22 3 3" xfId="14147"/>
    <cellStyle name="常规(小) 22 3 4" xfId="14175"/>
    <cellStyle name="常规(小) 22 3 5" xfId="14211"/>
    <cellStyle name="常规(小) 22 3 6" xfId="14217"/>
    <cellStyle name="常规(小) 22 3 7" xfId="14223"/>
    <cellStyle name="常规(小) 22 3 8" xfId="14227"/>
    <cellStyle name="常规(小) 22 4" xfId="35664"/>
    <cellStyle name="常规(小) 22 5" xfId="35666"/>
    <cellStyle name="常规(小) 22 6" xfId="35668"/>
    <cellStyle name="常规(小) 22 7" xfId="35670"/>
    <cellStyle name="常规(小) 22 8" xfId="35672"/>
    <cellStyle name="常规(小) 22 9" xfId="35674"/>
    <cellStyle name="常规(小) 23" xfId="35676"/>
    <cellStyle name="常规(小) 23 10" xfId="35678"/>
    <cellStyle name="常规(小) 23 2" xfId="5590"/>
    <cellStyle name="常规(小) 23 2 2" xfId="35680"/>
    <cellStyle name="常规(小) 23 2 3" xfId="21401"/>
    <cellStyle name="常规(小) 23 2 4" xfId="21408"/>
    <cellStyle name="常规(小) 23 2 5" xfId="21415"/>
    <cellStyle name="常规(小) 23 2 6" xfId="21422"/>
    <cellStyle name="常规(小) 23 2 7" xfId="21429"/>
    <cellStyle name="常规(小) 23 2 8" xfId="21433"/>
    <cellStyle name="常规(小) 23 3" xfId="5601"/>
    <cellStyle name="常规(小) 23 3 2" xfId="35682"/>
    <cellStyle name="常规(小) 23 3 3" xfId="35684"/>
    <cellStyle name="常规(小) 23 3 4" xfId="35686"/>
    <cellStyle name="常规(小) 23 3 5" xfId="35688"/>
    <cellStyle name="常规(小) 23 3 6" xfId="35690"/>
    <cellStyle name="常规(小) 23 3 7" xfId="35692"/>
    <cellStyle name="常规(小) 23 3 8" xfId="35694"/>
    <cellStyle name="常规(小) 23 4" xfId="5605"/>
    <cellStyle name="常规(小) 23 5" xfId="35696"/>
    <cellStyle name="常规(小) 23 6" xfId="35698"/>
    <cellStyle name="常规(小) 23 7" xfId="35700"/>
    <cellStyle name="常规(小) 23 8" xfId="35702"/>
    <cellStyle name="常规(小) 23 9" xfId="35704"/>
    <cellStyle name="常规(小) 24" xfId="35706"/>
    <cellStyle name="常规(小) 24 10" xfId="35708"/>
    <cellStyle name="常规(小) 24 2" xfId="35710"/>
    <cellStyle name="常规(小) 24 2 2" xfId="35712"/>
    <cellStyle name="常规(小) 24 2 3" xfId="21471"/>
    <cellStyle name="常规(小) 24 2 4" xfId="21478"/>
    <cellStyle name="常规(小) 24 2 5" xfId="21485"/>
    <cellStyle name="常规(小) 24 2 6" xfId="21492"/>
    <cellStyle name="常规(小) 24 2 7" xfId="21499"/>
    <cellStyle name="常规(小) 24 2 8" xfId="21503"/>
    <cellStyle name="常规(小) 24 3" xfId="35714"/>
    <cellStyle name="常规(小) 24 3 2" xfId="35716"/>
    <cellStyle name="常规(小) 24 3 3" xfId="35718"/>
    <cellStyle name="常规(小) 24 3 4" xfId="35720"/>
    <cellStyle name="常规(小) 24 3 5" xfId="35722"/>
    <cellStyle name="常规(小) 24 3 6" xfId="35724"/>
    <cellStyle name="常规(小) 24 3 7" xfId="35726"/>
    <cellStyle name="常规(小) 24 3 8" xfId="35728"/>
    <cellStyle name="常规(小) 24 4" xfId="35730"/>
    <cellStyle name="常规(小) 24 5" xfId="35732"/>
    <cellStyle name="常规(小) 24 6" xfId="35734"/>
    <cellStyle name="常规(小) 24 7" xfId="35736"/>
    <cellStyle name="常规(小) 24 8" xfId="35738"/>
    <cellStyle name="常规(小) 24 9" xfId="35740"/>
    <cellStyle name="常规(小) 25" xfId="37200"/>
    <cellStyle name="常规(小) 25 10" xfId="37202"/>
    <cellStyle name="常规(小) 25 2" xfId="34404"/>
    <cellStyle name="常规(小) 25 2 2" xfId="34407"/>
    <cellStyle name="常规(小) 25 2 3" xfId="21543"/>
    <cellStyle name="常规(小) 25 2 4" xfId="21551"/>
    <cellStyle name="常规(小) 25 2 5" xfId="21559"/>
    <cellStyle name="常规(小) 25 2 6" xfId="21567"/>
    <cellStyle name="常规(小) 25 2 7" xfId="21575"/>
    <cellStyle name="常规(小) 25 2 8" xfId="21579"/>
    <cellStyle name="常规(小) 25 3" xfId="37204"/>
    <cellStyle name="常规(小) 25 3 2" xfId="37206"/>
    <cellStyle name="常规(小) 25 3 3" xfId="37208"/>
    <cellStyle name="常规(小) 25 3 4" xfId="37210"/>
    <cellStyle name="常规(小) 25 3 5" xfId="37212"/>
    <cellStyle name="常规(小) 25 3 6" xfId="37214"/>
    <cellStyle name="常规(小) 25 3 7" xfId="37216"/>
    <cellStyle name="常规(小) 25 3 8" xfId="37218"/>
    <cellStyle name="常规(小) 25 4" xfId="37220"/>
    <cellStyle name="常规(小) 25 5" xfId="37222"/>
    <cellStyle name="常规(小) 25 6" xfId="37224"/>
    <cellStyle name="常规(小) 25 7" xfId="37226"/>
    <cellStyle name="常规(小) 25 8" xfId="37228"/>
    <cellStyle name="常规(小) 25 9" xfId="37230"/>
    <cellStyle name="常规(小) 26" xfId="37232"/>
    <cellStyle name="常规(小) 26 10" xfId="37234"/>
    <cellStyle name="常规(小) 26 2" xfId="37236"/>
    <cellStyle name="常规(小) 26 2 2" xfId="37238"/>
    <cellStyle name="常规(小) 26 2 3" xfId="21611"/>
    <cellStyle name="常规(小) 26 2 4" xfId="21618"/>
    <cellStyle name="常规(小) 26 2 5" xfId="21625"/>
    <cellStyle name="常规(小) 26 2 6" xfId="21632"/>
    <cellStyle name="常规(小) 26 2 7" xfId="21639"/>
    <cellStyle name="常规(小) 26 2 8" xfId="21643"/>
    <cellStyle name="常规(小) 26 3" xfId="37240"/>
    <cellStyle name="常规(小) 26 3 2" xfId="37242"/>
    <cellStyle name="常规(小) 26 3 3" xfId="37244"/>
    <cellStyle name="常规(小) 26 3 4" xfId="37246"/>
    <cellStyle name="常规(小) 26 3 5" xfId="37248"/>
    <cellStyle name="常规(小) 26 3 6" xfId="37250"/>
    <cellStyle name="常规(小) 26 3 7" xfId="37252"/>
    <cellStyle name="常规(小) 26 3 8" xfId="37254"/>
    <cellStyle name="常规(小) 26 4" xfId="37256"/>
    <cellStyle name="常规(小) 26 5" xfId="37258"/>
    <cellStyle name="常规(小) 26 6" xfId="37260"/>
    <cellStyle name="常规(小) 26 7" xfId="37262"/>
    <cellStyle name="常规(小) 26 8" xfId="37264"/>
    <cellStyle name="常规(小) 26 9" xfId="37266"/>
    <cellStyle name="常规(小) 27" xfId="37268"/>
    <cellStyle name="常规(小) 27 10" xfId="37270"/>
    <cellStyle name="常规(小) 27 2" xfId="37272"/>
    <cellStyle name="常规(小) 27 2 2" xfId="340"/>
    <cellStyle name="常规(小) 27 2 3" xfId="353"/>
    <cellStyle name="常规(小) 27 2 4" xfId="612"/>
    <cellStyle name="常规(小) 27 2 5" xfId="633"/>
    <cellStyle name="常规(小) 27 2 6" xfId="651"/>
    <cellStyle name="常规(小) 27 2 7" xfId="657"/>
    <cellStyle name="常规(小) 27 2 8" xfId="669"/>
    <cellStyle name="常规(小) 27 3" xfId="37274"/>
    <cellStyle name="常规(小) 27 3 2" xfId="72"/>
    <cellStyle name="常规(小) 27 3 3" xfId="37276"/>
    <cellStyle name="常规(小) 27 3 4" xfId="37278"/>
    <cellStyle name="常规(小) 27 3 5" xfId="37280"/>
    <cellStyle name="常规(小) 27 3 6" xfId="37282"/>
    <cellStyle name="常规(小) 27 3 7" xfId="37284"/>
    <cellStyle name="常规(小) 27 3 8" xfId="37286"/>
    <cellStyle name="常规(小) 27 4" xfId="37288"/>
    <cellStyle name="常规(小) 27 5" xfId="37290"/>
    <cellStyle name="常规(小) 27 6" xfId="37292"/>
    <cellStyle name="常规(小) 27 7" xfId="37294"/>
    <cellStyle name="常规(小) 27 8" xfId="34109"/>
    <cellStyle name="常规(小) 27 9" xfId="34112"/>
    <cellStyle name="常规(小) 28" xfId="37296"/>
    <cellStyle name="常规(小) 28 10" xfId="532"/>
    <cellStyle name="常规(小) 28 2" xfId="5637"/>
    <cellStyle name="常规(小) 28 2 2" xfId="37298"/>
    <cellStyle name="常规(小) 28 2 3" xfId="21695"/>
    <cellStyle name="常规(小) 28 2 4" xfId="21701"/>
    <cellStyle name="常规(小) 28 2 5" xfId="21707"/>
    <cellStyle name="常规(小) 28 2 6" xfId="21713"/>
    <cellStyle name="常规(小) 28 2 7" xfId="21719"/>
    <cellStyle name="常规(小) 28 2 8" xfId="21723"/>
    <cellStyle name="常规(小) 28 3" xfId="5644"/>
    <cellStyle name="常规(小) 28 3 2" xfId="37300"/>
    <cellStyle name="常规(小) 28 3 3" xfId="37302"/>
    <cellStyle name="常规(小) 28 3 4" xfId="37304"/>
    <cellStyle name="常规(小) 28 3 5" xfId="37306"/>
    <cellStyle name="常规(小) 28 3 6" xfId="37308"/>
    <cellStyle name="常规(小) 28 3 7" xfId="37310"/>
    <cellStyle name="常规(小) 28 3 8" xfId="37312"/>
    <cellStyle name="常规(小) 28 4" xfId="5648"/>
    <cellStyle name="常规(小) 28 5" xfId="37314"/>
    <cellStyle name="常规(小) 28 6" xfId="37316"/>
    <cellStyle name="常规(小) 28 7" xfId="37318"/>
    <cellStyle name="常规(小) 28 8" xfId="34116"/>
    <cellStyle name="常规(小) 28 9" xfId="34119"/>
    <cellStyle name="常规(小) 29" xfId="37320"/>
    <cellStyle name="常规(小) 29 10" xfId="37322"/>
    <cellStyle name="常规(小) 29 2" xfId="37324"/>
    <cellStyle name="常规(小) 29 2 2" xfId="37326"/>
    <cellStyle name="常规(小) 29 2 3" xfId="21759"/>
    <cellStyle name="常规(小) 29 2 4" xfId="21765"/>
    <cellStyle name="常规(小) 29 2 5" xfId="21771"/>
    <cellStyle name="常规(小) 29 2 6" xfId="21777"/>
    <cellStyle name="常规(小) 29 2 7" xfId="21783"/>
    <cellStyle name="常规(小) 29 2 8" xfId="21787"/>
    <cellStyle name="常规(小) 29 3" xfId="33914"/>
    <cellStyle name="常规(小) 29 3 2" xfId="37328"/>
    <cellStyle name="常规(小) 29 3 3" xfId="37330"/>
    <cellStyle name="常规(小) 29 3 4" xfId="37332"/>
    <cellStyle name="常规(小) 29 3 5" xfId="37334"/>
    <cellStyle name="常规(小) 29 3 6" xfId="37336"/>
    <cellStyle name="常规(小) 29 3 7" xfId="37338"/>
    <cellStyle name="常规(小) 29 3 8" xfId="37340"/>
    <cellStyle name="常规(小) 29 4" xfId="33917"/>
    <cellStyle name="常规(小) 29 5" xfId="33920"/>
    <cellStyle name="常规(小) 29 6" xfId="33923"/>
    <cellStyle name="常规(小) 29 7" xfId="33926"/>
    <cellStyle name="常规(小) 29 8" xfId="33930"/>
    <cellStyle name="常规(小) 29 9" xfId="33934"/>
    <cellStyle name="常规(小) 3" xfId="37342"/>
    <cellStyle name="常规(小) 3 10" xfId="37343"/>
    <cellStyle name="常规(小) 3 2" xfId="37344"/>
    <cellStyle name="常规(小) 3 2 2" xfId="37345"/>
    <cellStyle name="常规(小) 3 2 3" xfId="37346"/>
    <cellStyle name="常规(小) 3 2 4" xfId="37347"/>
    <cellStyle name="常规(小) 3 2 5" xfId="37348"/>
    <cellStyle name="常规(小) 3 2 6" xfId="37349"/>
    <cellStyle name="常规(小) 3 2 7" xfId="37350"/>
    <cellStyle name="常规(小) 3 2 8" xfId="37351"/>
    <cellStyle name="常规(小) 3 3" xfId="37352"/>
    <cellStyle name="常规(小) 3 3 2" xfId="19853"/>
    <cellStyle name="常规(小) 3 3 3" xfId="19860"/>
    <cellStyle name="常规(小) 3 3 4" xfId="19867"/>
    <cellStyle name="常规(小) 3 3 5" xfId="19874"/>
    <cellStyle name="常规(小) 3 3 6" xfId="37353"/>
    <cellStyle name="常规(小) 3 3 7" xfId="37354"/>
    <cellStyle name="常规(小) 3 3 8" xfId="37355"/>
    <cellStyle name="常规(小) 3 4" xfId="37356"/>
    <cellStyle name="常规(小) 3 5" xfId="2492"/>
    <cellStyle name="常规(小) 3 6" xfId="2497"/>
    <cellStyle name="常规(小) 3 7" xfId="2502"/>
    <cellStyle name="常规(小) 3 8" xfId="2509"/>
    <cellStyle name="常规(小) 3 9" xfId="2516"/>
    <cellStyle name="常规(小) 30" xfId="37201"/>
    <cellStyle name="常规(小) 30 10" xfId="37203"/>
    <cellStyle name="常规(小) 30 2" xfId="34405"/>
    <cellStyle name="常规(小) 30 2 2" xfId="34408"/>
    <cellStyle name="常规(小) 30 2 3" xfId="21542"/>
    <cellStyle name="常规(小) 30 2 4" xfId="21550"/>
    <cellStyle name="常规(小) 30 2 5" xfId="21558"/>
    <cellStyle name="常规(小) 30 2 6" xfId="21566"/>
    <cellStyle name="常规(小) 30 2 7" xfId="21574"/>
    <cellStyle name="常规(小) 30 2 8" xfId="21578"/>
    <cellStyle name="常规(小) 30 3" xfId="37205"/>
    <cellStyle name="常规(小) 30 3 2" xfId="37207"/>
    <cellStyle name="常规(小) 30 3 3" xfId="37209"/>
    <cellStyle name="常规(小) 30 3 4" xfId="37211"/>
    <cellStyle name="常规(小) 30 3 5" xfId="37213"/>
    <cellStyle name="常规(小) 30 3 6" xfId="37215"/>
    <cellStyle name="常规(小) 30 3 7" xfId="37217"/>
    <cellStyle name="常规(小) 30 3 8" xfId="37219"/>
    <cellStyle name="常规(小) 30 4" xfId="37221"/>
    <cellStyle name="常规(小) 30 5" xfId="37223"/>
    <cellStyle name="常规(小) 30 6" xfId="37225"/>
    <cellStyle name="常规(小) 30 7" xfId="37227"/>
    <cellStyle name="常规(小) 30 8" xfId="37229"/>
    <cellStyle name="常规(小) 30 9" xfId="37231"/>
    <cellStyle name="常规(小) 31" xfId="37233"/>
    <cellStyle name="常规(小) 31 10" xfId="37235"/>
    <cellStyle name="常规(小) 31 2" xfId="37237"/>
    <cellStyle name="常规(小) 31 2 2" xfId="37239"/>
    <cellStyle name="常规(小) 31 2 3" xfId="21610"/>
    <cellStyle name="常规(小) 31 2 4" xfId="21617"/>
    <cellStyle name="常规(小) 31 2 5" xfId="21624"/>
    <cellStyle name="常规(小) 31 2 6" xfId="21631"/>
    <cellStyle name="常规(小) 31 2 7" xfId="21638"/>
    <cellStyle name="常规(小) 31 2 8" xfId="21642"/>
    <cellStyle name="常规(小) 31 3" xfId="37241"/>
    <cellStyle name="常规(小) 31 3 2" xfId="37243"/>
    <cellStyle name="常规(小) 31 3 3" xfId="37245"/>
    <cellStyle name="常规(小) 31 3 4" xfId="37247"/>
    <cellStyle name="常规(小) 31 3 5" xfId="37249"/>
    <cellStyle name="常规(小) 31 3 6" xfId="37251"/>
    <cellStyle name="常规(小) 31 3 7" xfId="37253"/>
    <cellStyle name="常规(小) 31 3 8" xfId="37255"/>
    <cellStyle name="常规(小) 31 4" xfId="37257"/>
    <cellStyle name="常规(小) 31 5" xfId="37259"/>
    <cellStyle name="常规(小) 31 6" xfId="37261"/>
    <cellStyle name="常规(小) 31 7" xfId="37263"/>
    <cellStyle name="常规(小) 31 8" xfId="37265"/>
    <cellStyle name="常规(小) 31 9" xfId="37267"/>
    <cellStyle name="常规(小) 32" xfId="37269"/>
    <cellStyle name="常规(小) 32 10" xfId="37271"/>
    <cellStyle name="常规(小) 32 2" xfId="37273"/>
    <cellStyle name="常规(小) 32 2 2" xfId="339"/>
    <cellStyle name="常规(小) 32 2 3" xfId="352"/>
    <cellStyle name="常规(小) 32 2 4" xfId="613"/>
    <cellStyle name="常规(小) 32 2 5" xfId="634"/>
    <cellStyle name="常规(小) 32 2 6" xfId="652"/>
    <cellStyle name="常规(小) 32 2 7" xfId="658"/>
    <cellStyle name="常规(小) 32 2 8" xfId="670"/>
    <cellStyle name="常规(小) 32 3" xfId="37275"/>
    <cellStyle name="常规(小) 32 3 2" xfId="71"/>
    <cellStyle name="常规(小) 32 3 3" xfId="37277"/>
    <cellStyle name="常规(小) 32 3 4" xfId="37279"/>
    <cellStyle name="常规(小) 32 3 5" xfId="37281"/>
    <cellStyle name="常规(小) 32 3 6" xfId="37283"/>
    <cellStyle name="常规(小) 32 3 7" xfId="37285"/>
    <cellStyle name="常规(小) 32 3 8" xfId="37287"/>
    <cellStyle name="常规(小) 32 4" xfId="37289"/>
    <cellStyle name="常规(小) 32 5" xfId="37291"/>
    <cellStyle name="常规(小) 32 6" xfId="37293"/>
    <cellStyle name="常规(小) 32 7" xfId="37295"/>
    <cellStyle name="常规(小) 32 8" xfId="34110"/>
    <cellStyle name="常规(小) 32 9" xfId="34113"/>
    <cellStyle name="常规(小) 33" xfId="37297"/>
    <cellStyle name="常规(小) 33 10" xfId="533"/>
    <cellStyle name="常规(小) 33 2" xfId="5636"/>
    <cellStyle name="常规(小) 33 2 2" xfId="37299"/>
    <cellStyle name="常规(小) 33 2 3" xfId="21694"/>
    <cellStyle name="常规(小) 33 2 4" xfId="21700"/>
    <cellStyle name="常规(小) 33 2 5" xfId="21706"/>
    <cellStyle name="常规(小) 33 2 6" xfId="21712"/>
    <cellStyle name="常规(小) 33 2 7" xfId="21718"/>
    <cellStyle name="常规(小) 33 2 8" xfId="21722"/>
    <cellStyle name="常规(小) 33 3" xfId="5643"/>
    <cellStyle name="常规(小) 33 3 2" xfId="37301"/>
    <cellStyle name="常规(小) 33 3 3" xfId="37303"/>
    <cellStyle name="常规(小) 33 3 4" xfId="37305"/>
    <cellStyle name="常规(小) 33 3 5" xfId="37307"/>
    <cellStyle name="常规(小) 33 3 6" xfId="37309"/>
    <cellStyle name="常规(小) 33 3 7" xfId="37311"/>
    <cellStyle name="常规(小) 33 3 8" xfId="37313"/>
    <cellStyle name="常规(小) 33 4" xfId="5647"/>
    <cellStyle name="常规(小) 33 5" xfId="37315"/>
    <cellStyle name="常规(小) 33 6" xfId="37317"/>
    <cellStyle name="常规(小) 33 7" xfId="37319"/>
    <cellStyle name="常规(小) 33 8" xfId="34117"/>
    <cellStyle name="常规(小) 33 9" xfId="34120"/>
    <cellStyle name="常规(小) 34" xfId="37321"/>
    <cellStyle name="常规(小) 34 10" xfId="37323"/>
    <cellStyle name="常规(小) 34 2" xfId="37325"/>
    <cellStyle name="常规(小) 34 2 2" xfId="37327"/>
    <cellStyle name="常规(小) 34 2 3" xfId="21758"/>
    <cellStyle name="常规(小) 34 2 4" xfId="21764"/>
    <cellStyle name="常规(小) 34 2 5" xfId="21770"/>
    <cellStyle name="常规(小) 34 2 6" xfId="21776"/>
    <cellStyle name="常规(小) 34 2 7" xfId="21782"/>
    <cellStyle name="常规(小) 34 2 8" xfId="21786"/>
    <cellStyle name="常规(小) 34 3" xfId="33915"/>
    <cellStyle name="常规(小) 34 3 2" xfId="37329"/>
    <cellStyle name="常规(小) 34 3 3" xfId="37331"/>
    <cellStyle name="常规(小) 34 3 4" xfId="37333"/>
    <cellStyle name="常规(小) 34 3 5" xfId="37335"/>
    <cellStyle name="常规(小) 34 3 6" xfId="37337"/>
    <cellStyle name="常规(小) 34 3 7" xfId="37339"/>
    <cellStyle name="常规(小) 34 3 8" xfId="37341"/>
    <cellStyle name="常规(小) 34 4" xfId="33918"/>
    <cellStyle name="常规(小) 34 5" xfId="33921"/>
    <cellStyle name="常规(小) 34 6" xfId="33924"/>
    <cellStyle name="常规(小) 34 7" xfId="33927"/>
    <cellStyle name="常规(小) 34 8" xfId="33931"/>
    <cellStyle name="常规(小) 34 9" xfId="33935"/>
    <cellStyle name="常规(小) 35" xfId="27749"/>
    <cellStyle name="常规(小) 35 10" xfId="37357"/>
    <cellStyle name="常规(小) 35 2" xfId="34557"/>
    <cellStyle name="常规(小) 35 2 2" xfId="34560"/>
    <cellStyle name="常规(小) 35 2 3" xfId="21820"/>
    <cellStyle name="常规(小) 35 2 4" xfId="21827"/>
    <cellStyle name="常规(小) 35 2 5" xfId="21833"/>
    <cellStyle name="常规(小) 35 2 6" xfId="21839"/>
    <cellStyle name="常规(小) 35 2 7" xfId="21845"/>
    <cellStyle name="常规(小) 35 2 8" xfId="21849"/>
    <cellStyle name="常规(小) 35 3" xfId="33938"/>
    <cellStyle name="常规(小) 35 3 2" xfId="37359"/>
    <cellStyle name="常规(小) 35 3 3" xfId="37361"/>
    <cellStyle name="常规(小) 35 3 4" xfId="37363"/>
    <cellStyle name="常规(小) 35 3 5" xfId="37365"/>
    <cellStyle name="常规(小) 35 3 6" xfId="37367"/>
    <cellStyle name="常规(小) 35 3 7" xfId="37369"/>
    <cellStyle name="常规(小) 35 3 8" xfId="37371"/>
    <cellStyle name="常规(小) 35 4" xfId="33941"/>
    <cellStyle name="常规(小) 35 5" xfId="33944"/>
    <cellStyle name="常规(小) 35 6" xfId="33947"/>
    <cellStyle name="常规(小) 35 7" xfId="33950"/>
    <cellStyle name="常规(小) 35 8" xfId="33954"/>
    <cellStyle name="常规(小) 35 9" xfId="33958"/>
    <cellStyle name="常规(小) 36" xfId="11707"/>
    <cellStyle name="常规(小) 36 10" xfId="37373"/>
    <cellStyle name="常规(小) 36 2" xfId="37375"/>
    <cellStyle name="常规(小) 36 2 2" xfId="37377"/>
    <cellStyle name="常规(小) 36 2 3" xfId="21895"/>
    <cellStyle name="常规(小) 36 2 4" xfId="21902"/>
    <cellStyle name="常规(小) 36 2 5" xfId="21908"/>
    <cellStyle name="常规(小) 36 2 6" xfId="21916"/>
    <cellStyle name="常规(小) 36 2 7" xfId="21924"/>
    <cellStyle name="常规(小) 36 2 8" xfId="21930"/>
    <cellStyle name="常规(小) 36 3" xfId="33962"/>
    <cellStyle name="常规(小) 36 3 2" xfId="37379"/>
    <cellStyle name="常规(小) 36 3 3" xfId="37381"/>
    <cellStyle name="常规(小) 36 3 4" xfId="37383"/>
    <cellStyle name="常规(小) 36 3 5" xfId="37385"/>
    <cellStyle name="常规(小) 36 3 6" xfId="37387"/>
    <cellStyle name="常规(小) 36 3 7" xfId="37389"/>
    <cellStyle name="常规(小) 36 3 8" xfId="37391"/>
    <cellStyle name="常规(小) 36 4" xfId="33965"/>
    <cellStyle name="常规(小) 36 5" xfId="33968"/>
    <cellStyle name="常规(小) 36 6" xfId="33971"/>
    <cellStyle name="常规(小) 36 7" xfId="33974"/>
    <cellStyle name="常规(小) 36 8" xfId="33978"/>
    <cellStyle name="常规(小) 36 9" xfId="33982"/>
    <cellStyle name="常规(小) 37" xfId="11713"/>
    <cellStyle name="常规(小) 37 10" xfId="37393"/>
    <cellStyle name="常规(小) 37 2" xfId="37395"/>
    <cellStyle name="常规(小) 37 2 2" xfId="37397"/>
    <cellStyle name="常规(小) 37 2 3" xfId="3887"/>
    <cellStyle name="常规(小) 37 2 4" xfId="21978"/>
    <cellStyle name="常规(小) 37 2 5" xfId="21986"/>
    <cellStyle name="常规(小) 37 2 6" xfId="21994"/>
    <cellStyle name="常规(小) 37 2 7" xfId="6209"/>
    <cellStyle name="常规(小) 37 2 8" xfId="6217"/>
    <cellStyle name="常规(小) 37 3" xfId="33988"/>
    <cellStyle name="常规(小) 37 3 2" xfId="37399"/>
    <cellStyle name="常规(小) 37 3 3" xfId="37401"/>
    <cellStyle name="常规(小) 37 3 4" xfId="37403"/>
    <cellStyle name="常规(小) 37 3 5" xfId="37405"/>
    <cellStyle name="常规(小) 37 3 6" xfId="37407"/>
    <cellStyle name="常规(小) 37 3 7" xfId="37409"/>
    <cellStyle name="常规(小) 37 3 8" xfId="37412"/>
    <cellStyle name="常规(小) 37 4" xfId="33991"/>
    <cellStyle name="常规(小) 37 5" xfId="33994"/>
    <cellStyle name="常规(小) 37 6" xfId="33997"/>
    <cellStyle name="常规(小) 37 7" xfId="34000"/>
    <cellStyle name="常规(小) 37 8" xfId="34004"/>
    <cellStyle name="常规(小) 37 9" xfId="34008"/>
    <cellStyle name="常规(小) 38" xfId="20227"/>
    <cellStyle name="常规(小) 38 10" xfId="37415"/>
    <cellStyle name="常规(小) 38 2" xfId="3985"/>
    <cellStyle name="常规(小) 38 2 2" xfId="37417"/>
    <cellStyle name="常规(小) 38 2 3" xfId="22035"/>
    <cellStyle name="常规(小) 38 2 4" xfId="22041"/>
    <cellStyle name="常规(小) 38 2 5" xfId="22047"/>
    <cellStyle name="常规(小) 38 2 6" xfId="22053"/>
    <cellStyle name="常规(小) 38 2 7" xfId="6274"/>
    <cellStyle name="常规(小) 38 2 8" xfId="6279"/>
    <cellStyle name="常规(小) 38 3" xfId="5678"/>
    <cellStyle name="常规(小) 38 3 2" xfId="37419"/>
    <cellStyle name="常规(小) 38 3 3" xfId="37421"/>
    <cellStyle name="常规(小) 38 3 4" xfId="37423"/>
    <cellStyle name="常规(小) 38 3 5" xfId="37425"/>
    <cellStyle name="常规(小) 38 3 6" xfId="37427"/>
    <cellStyle name="常规(小) 38 3 7" xfId="37429"/>
    <cellStyle name="常规(小) 38 3 8" xfId="37431"/>
    <cellStyle name="常规(小) 38 4" xfId="34015"/>
    <cellStyle name="常规(小) 38 5" xfId="34018"/>
    <cellStyle name="常规(小) 38 6" xfId="34021"/>
    <cellStyle name="常规(小) 38 7" xfId="34024"/>
    <cellStyle name="常规(小) 38 8" xfId="34027"/>
    <cellStyle name="常规(小) 38 9" xfId="34030"/>
    <cellStyle name="常规(小) 39" xfId="20243"/>
    <cellStyle name="常规(小) 39 10" xfId="37433"/>
    <cellStyle name="常规(小) 39 2" xfId="37435"/>
    <cellStyle name="常规(小) 39 2 2" xfId="37437"/>
    <cellStyle name="常规(小) 39 2 3" xfId="22081"/>
    <cellStyle name="常规(小) 39 2 4" xfId="22087"/>
    <cellStyle name="常规(小) 39 2 5" xfId="22093"/>
    <cellStyle name="常规(小) 39 2 6" xfId="22099"/>
    <cellStyle name="常规(小) 39 2 7" xfId="22105"/>
    <cellStyle name="常规(小) 39 2 8" xfId="22109"/>
    <cellStyle name="常规(小) 39 3" xfId="34036"/>
    <cellStyle name="常规(小) 39 3 2" xfId="37439"/>
    <cellStyle name="常规(小) 39 3 3" xfId="37441"/>
    <cellStyle name="常规(小) 39 3 4" xfId="37443"/>
    <cellStyle name="常规(小) 39 3 5" xfId="37445"/>
    <cellStyle name="常规(小) 39 3 6" xfId="37447"/>
    <cellStyle name="常规(小) 39 3 7" xfId="37449"/>
    <cellStyle name="常规(小) 39 3 8" xfId="37451"/>
    <cellStyle name="常规(小) 39 4" xfId="34039"/>
    <cellStyle name="常规(小) 39 5" xfId="34042"/>
    <cellStyle name="常规(小) 39 6" xfId="34045"/>
    <cellStyle name="常规(小) 39 7" xfId="34048"/>
    <cellStyle name="常规(小) 39 8" xfId="34051"/>
    <cellStyle name="常规(小) 39 9" xfId="34054"/>
    <cellStyle name="常规(小) 4" xfId="37453"/>
    <cellStyle name="常规(小) 4 10" xfId="37454"/>
    <cellStyle name="常规(小) 4 2" xfId="37455"/>
    <cellStyle name="常规(小) 4 2 2" xfId="37456"/>
    <cellStyle name="常规(小) 4 2 3" xfId="37457"/>
    <cellStyle name="常规(小) 4 2 4" xfId="37458"/>
    <cellStyle name="常规(小) 4 2 5" xfId="37459"/>
    <cellStyle name="常规(小) 4 2 6" xfId="37460"/>
    <cellStyle name="常规(小) 4 2 7" xfId="37461"/>
    <cellStyle name="常规(小) 4 2 8" xfId="37462"/>
    <cellStyle name="常规(小) 4 3" xfId="37463"/>
    <cellStyle name="常规(小) 4 3 2" xfId="14021"/>
    <cellStyle name="常规(小) 4 3 3" xfId="14052"/>
    <cellStyle name="常规(小) 4 3 4" xfId="14084"/>
    <cellStyle name="常规(小) 4 3 5" xfId="14093"/>
    <cellStyle name="常规(小) 4 3 6" xfId="37464"/>
    <cellStyle name="常规(小) 4 3 7" xfId="37465"/>
    <cellStyle name="常规(小) 4 3 8" xfId="37466"/>
    <cellStyle name="常规(小) 4 4" xfId="37467"/>
    <cellStyle name="常规(小) 4 5" xfId="2546"/>
    <cellStyle name="常规(小) 4 6" xfId="2552"/>
    <cellStyle name="常规(小) 4 7" xfId="2558"/>
    <cellStyle name="常规(小) 4 8" xfId="2564"/>
    <cellStyle name="常规(小) 4 9" xfId="2572"/>
    <cellStyle name="常规(小) 40" xfId="27748"/>
    <cellStyle name="常规(小) 40 10" xfId="37358"/>
    <cellStyle name="常规(小) 40 2" xfId="34558"/>
    <cellStyle name="常规(小) 40 2 2" xfId="34561"/>
    <cellStyle name="常规(小) 40 2 3" xfId="21819"/>
    <cellStyle name="常规(小) 40 2 4" xfId="21826"/>
    <cellStyle name="常规(小) 40 2 5" xfId="21832"/>
    <cellStyle name="常规(小) 40 2 6" xfId="21838"/>
    <cellStyle name="常规(小) 40 2 7" xfId="21844"/>
    <cellStyle name="常规(小) 40 2 8" xfId="21848"/>
    <cellStyle name="常规(小) 40 3" xfId="33939"/>
    <cellStyle name="常规(小) 40 3 2" xfId="37360"/>
    <cellStyle name="常规(小) 40 3 3" xfId="37362"/>
    <cellStyle name="常规(小) 40 3 4" xfId="37364"/>
    <cellStyle name="常规(小) 40 3 5" xfId="37366"/>
    <cellStyle name="常规(小) 40 3 6" xfId="37368"/>
    <cellStyle name="常规(小) 40 3 7" xfId="37370"/>
    <cellStyle name="常规(小) 40 3 8" xfId="37372"/>
    <cellStyle name="常规(小) 40 4" xfId="33942"/>
    <cellStyle name="常规(小) 40 5" xfId="33945"/>
    <cellStyle name="常规(小) 40 6" xfId="33948"/>
    <cellStyle name="常规(小) 40 7" xfId="33951"/>
    <cellStyle name="常规(小) 40 8" xfId="33955"/>
    <cellStyle name="常规(小) 40 9" xfId="33959"/>
    <cellStyle name="常规(小) 41" xfId="11706"/>
    <cellStyle name="常规(小) 41 10" xfId="37374"/>
    <cellStyle name="常规(小) 41 2" xfId="37376"/>
    <cellStyle name="常规(小) 41 2 2" xfId="37378"/>
    <cellStyle name="常规(小) 41 2 3" xfId="21894"/>
    <cellStyle name="常规(小) 41 2 4" xfId="21901"/>
    <cellStyle name="常规(小) 41 2 5" xfId="21907"/>
    <cellStyle name="常规(小) 41 2 6" xfId="21915"/>
    <cellStyle name="常规(小) 41 2 7" xfId="21923"/>
    <cellStyle name="常规(小) 41 2 8" xfId="21929"/>
    <cellStyle name="常规(小) 41 3" xfId="33963"/>
    <cellStyle name="常规(小) 41 3 2" xfId="37380"/>
    <cellStyle name="常规(小) 41 3 3" xfId="37382"/>
    <cellStyle name="常规(小) 41 3 4" xfId="37384"/>
    <cellStyle name="常规(小) 41 3 5" xfId="37386"/>
    <cellStyle name="常规(小) 41 3 6" xfId="37388"/>
    <cellStyle name="常规(小) 41 3 7" xfId="37390"/>
    <cellStyle name="常规(小) 41 3 8" xfId="37392"/>
    <cellStyle name="常规(小) 41 4" xfId="33966"/>
    <cellStyle name="常规(小) 41 5" xfId="33969"/>
    <cellStyle name="常规(小) 41 6" xfId="33972"/>
    <cellStyle name="常规(小) 41 7" xfId="33975"/>
    <cellStyle name="常规(小) 41 8" xfId="33979"/>
    <cellStyle name="常规(小) 41 9" xfId="33983"/>
    <cellStyle name="常规(小) 42" xfId="11712"/>
    <cellStyle name="常规(小) 42 10" xfId="37394"/>
    <cellStyle name="常规(小) 42 2" xfId="37396"/>
    <cellStyle name="常规(小) 42 2 2" xfId="37398"/>
    <cellStyle name="常规(小) 42 2 3" xfId="3888"/>
    <cellStyle name="常规(小) 42 2 4" xfId="21977"/>
    <cellStyle name="常规(小) 42 2 5" xfId="21985"/>
    <cellStyle name="常规(小) 42 2 6" xfId="21993"/>
    <cellStyle name="常规(小) 42 2 7" xfId="6208"/>
    <cellStyle name="常规(小) 42 2 8" xfId="6216"/>
    <cellStyle name="常规(小) 42 3" xfId="33989"/>
    <cellStyle name="常规(小) 42 3 2" xfId="37400"/>
    <cellStyle name="常规(小) 42 3 3" xfId="37402"/>
    <cellStyle name="常规(小) 42 3 4" xfId="37404"/>
    <cellStyle name="常规(小) 42 3 5" xfId="37406"/>
    <cellStyle name="常规(小) 42 3 6" xfId="37408"/>
    <cellStyle name="常规(小) 42 3 7" xfId="37410"/>
    <cellStyle name="常规(小) 42 3 8" xfId="37413"/>
    <cellStyle name="常规(小) 42 4" xfId="33992"/>
    <cellStyle name="常规(小) 42 5" xfId="33995"/>
    <cellStyle name="常规(小) 42 6" xfId="33998"/>
    <cellStyle name="常规(小) 42 7" xfId="34001"/>
    <cellStyle name="常规(小) 42 8" xfId="34005"/>
    <cellStyle name="常规(小) 42 9" xfId="34009"/>
    <cellStyle name="常规(小) 43" xfId="20226"/>
    <cellStyle name="常规(小) 43 10" xfId="37416"/>
    <cellStyle name="常规(小) 43 2" xfId="3986"/>
    <cellStyle name="常规(小) 43 2 2" xfId="37418"/>
    <cellStyle name="常规(小) 43 2 3" xfId="22034"/>
    <cellStyle name="常规(小) 43 2 4" xfId="22040"/>
    <cellStyle name="常规(小) 43 2 5" xfId="22046"/>
    <cellStyle name="常规(小) 43 2 6" xfId="22052"/>
    <cellStyle name="常规(小) 43 2 7" xfId="6273"/>
    <cellStyle name="常规(小) 43 2 8" xfId="6278"/>
    <cellStyle name="常规(小) 43 3" xfId="5677"/>
    <cellStyle name="常规(小) 43 3 2" xfId="37420"/>
    <cellStyle name="常规(小) 43 3 3" xfId="37422"/>
    <cellStyle name="常规(小) 43 3 4" xfId="37424"/>
    <cellStyle name="常规(小) 43 3 5" xfId="37426"/>
    <cellStyle name="常规(小) 43 3 6" xfId="37428"/>
    <cellStyle name="常规(小) 43 3 7" xfId="37430"/>
    <cellStyle name="常规(小) 43 3 8" xfId="37432"/>
    <cellStyle name="常规(小) 43 4" xfId="34016"/>
    <cellStyle name="常规(小) 43 5" xfId="34019"/>
    <cellStyle name="常规(小) 43 6" xfId="34022"/>
    <cellStyle name="常规(小) 43 7" xfId="34025"/>
    <cellStyle name="常规(小) 43 8" xfId="34028"/>
    <cellStyle name="常规(小) 43 9" xfId="34031"/>
    <cellStyle name="常规(小) 44" xfId="20242"/>
    <cellStyle name="常规(小) 44 10" xfId="37434"/>
    <cellStyle name="常规(小) 44 2" xfId="37436"/>
    <cellStyle name="常规(小) 44 2 2" xfId="37438"/>
    <cellStyle name="常规(小) 44 2 3" xfId="22080"/>
    <cellStyle name="常规(小) 44 2 4" xfId="22086"/>
    <cellStyle name="常规(小) 44 2 5" xfId="22092"/>
    <cellStyle name="常规(小) 44 2 6" xfId="22098"/>
    <cellStyle name="常规(小) 44 2 7" xfId="22104"/>
    <cellStyle name="常规(小) 44 2 8" xfId="22108"/>
    <cellStyle name="常规(小) 44 3" xfId="34037"/>
    <cellStyle name="常规(小) 44 3 2" xfId="37440"/>
    <cellStyle name="常规(小) 44 3 3" xfId="37442"/>
    <cellStyle name="常规(小) 44 3 4" xfId="37444"/>
    <cellStyle name="常规(小) 44 3 5" xfId="37446"/>
    <cellStyle name="常规(小) 44 3 6" xfId="37448"/>
    <cellStyle name="常规(小) 44 3 7" xfId="37450"/>
    <cellStyle name="常规(小) 44 3 8" xfId="37452"/>
    <cellStyle name="常规(小) 44 4" xfId="34040"/>
    <cellStyle name="常规(小) 44 5" xfId="34043"/>
    <cellStyle name="常规(小) 44 6" xfId="34046"/>
    <cellStyle name="常规(小) 44 7" xfId="34049"/>
    <cellStyle name="常规(小) 44 8" xfId="34052"/>
    <cellStyle name="常规(小) 44 9" xfId="34055"/>
    <cellStyle name="常规(小) 45" xfId="20260"/>
    <cellStyle name="常规(小) 45 10" xfId="37468"/>
    <cellStyle name="常规(小) 45 2" xfId="37470"/>
    <cellStyle name="常规(小) 45 2 2" xfId="37472"/>
    <cellStyle name="常规(小) 45 2 3" xfId="22141"/>
    <cellStyle name="常规(小) 45 2 4" xfId="22146"/>
    <cellStyle name="常规(小) 45 2 5" xfId="22151"/>
    <cellStyle name="常规(小) 45 2 6" xfId="22156"/>
    <cellStyle name="常规(小) 45 2 7" xfId="22161"/>
    <cellStyle name="常规(小) 45 2 8" xfId="22165"/>
    <cellStyle name="常规(小) 45 3" xfId="37474"/>
    <cellStyle name="常规(小) 45 3 2" xfId="37476"/>
    <cellStyle name="常规(小) 45 3 3" xfId="37478"/>
    <cellStyle name="常规(小) 45 3 4" xfId="37480"/>
    <cellStyle name="常规(小) 45 3 5" xfId="37482"/>
    <cellStyle name="常规(小) 45 3 6" xfId="37484"/>
    <cellStyle name="常规(小) 45 3 7" xfId="37486"/>
    <cellStyle name="常规(小) 45 3 8" xfId="37488"/>
    <cellStyle name="常规(小) 45 4" xfId="37490"/>
    <cellStyle name="常规(小) 45 5" xfId="37492"/>
    <cellStyle name="常规(小) 45 6" xfId="37494"/>
    <cellStyle name="常规(小) 45 7" xfId="37496"/>
    <cellStyle name="常规(小) 45 8" xfId="37498"/>
    <cellStyle name="常规(小) 45 9" xfId="37500"/>
    <cellStyle name="常规(小) 46" xfId="20267"/>
    <cellStyle name="常规(小) 46 10" xfId="37502"/>
    <cellStyle name="常规(小) 46 2" xfId="37504"/>
    <cellStyle name="常规(小) 46 2 2" xfId="37506"/>
    <cellStyle name="常规(小) 46 2 3" xfId="22193"/>
    <cellStyle name="常规(小) 46 2 4" xfId="22197"/>
    <cellStyle name="常规(小) 46 2 5" xfId="22201"/>
    <cellStyle name="常规(小) 46 2 6" xfId="22205"/>
    <cellStyle name="常规(小) 46 2 7" xfId="22209"/>
    <cellStyle name="常规(小) 46 2 8" xfId="18655"/>
    <cellStyle name="常规(小) 46 3" xfId="37508"/>
    <cellStyle name="常规(小) 46 3 2" xfId="37510"/>
    <cellStyle name="常规(小) 46 3 3" xfId="37512"/>
    <cellStyle name="常规(小) 46 3 4" xfId="37514"/>
    <cellStyle name="常规(小) 46 3 5" xfId="37516"/>
    <cellStyle name="常规(小) 46 3 6" xfId="37518"/>
    <cellStyle name="常规(小) 46 3 7" xfId="37520"/>
    <cellStyle name="常规(小) 46 3 8" xfId="37522"/>
    <cellStyle name="常规(小) 46 4" xfId="37524"/>
    <cellStyle name="常规(小) 46 5" xfId="37526"/>
    <cellStyle name="常规(小) 46 6" xfId="37528"/>
    <cellStyle name="常规(小) 46 7" xfId="37530"/>
    <cellStyle name="常规(小) 46 8" xfId="37532"/>
    <cellStyle name="常规(小) 46 9" xfId="37534"/>
    <cellStyle name="常规(小) 47" xfId="37536"/>
    <cellStyle name="常规(小) 47 10" xfId="37538"/>
    <cellStyle name="常规(小) 47 2" xfId="37540"/>
    <cellStyle name="常规(小) 47 2 2" xfId="37542"/>
    <cellStyle name="常规(小) 47 2 3" xfId="22242"/>
    <cellStyle name="常规(小) 47 2 4" xfId="22246"/>
    <cellStyle name="常规(小) 47 2 5" xfId="22250"/>
    <cellStyle name="常规(小) 47 2 6" xfId="22254"/>
    <cellStyle name="常规(小) 47 2 7" xfId="22258"/>
    <cellStyle name="常规(小) 47 2 8" xfId="22262"/>
    <cellStyle name="常规(小) 47 3" xfId="37544"/>
    <cellStyle name="常规(小) 47 3 2" xfId="37546"/>
    <cellStyle name="常规(小) 47 3 3" xfId="37548"/>
    <cellStyle name="常规(小) 47 3 4" xfId="37550"/>
    <cellStyle name="常规(小) 47 3 5" xfId="37552"/>
    <cellStyle name="常规(小) 47 3 6" xfId="37554"/>
    <cellStyle name="常规(小) 47 3 7" xfId="37556"/>
    <cellStyle name="常规(小) 47 3 8" xfId="37558"/>
    <cellStyle name="常规(小) 47 4" xfId="37560"/>
    <cellStyle name="常规(小) 47 5" xfId="37562"/>
    <cellStyle name="常规(小) 47 6" xfId="37564"/>
    <cellStyle name="常规(小) 47 7" xfId="37566"/>
    <cellStyle name="常规(小) 47 8" xfId="37568"/>
    <cellStyle name="常规(小) 47 9" xfId="37570"/>
    <cellStyle name="常规(小) 48" xfId="37572"/>
    <cellStyle name="常规(小) 48 10" xfId="37574"/>
    <cellStyle name="常规(小) 48 2" xfId="4028"/>
    <cellStyle name="常规(小) 48 2 2" xfId="37576"/>
    <cellStyle name="常规(小) 48 2 3" xfId="22290"/>
    <cellStyle name="常规(小) 48 2 4" xfId="22294"/>
    <cellStyle name="常规(小) 48 2 5" xfId="22298"/>
    <cellStyle name="常规(小) 48 2 6" xfId="22302"/>
    <cellStyle name="常规(小) 48 2 7" xfId="22306"/>
    <cellStyle name="常规(小) 48 2 8" xfId="22310"/>
    <cellStyle name="常规(小) 48 3" xfId="144"/>
    <cellStyle name="常规(小) 48 3 2" xfId="37578"/>
    <cellStyle name="常规(小) 48 3 3" xfId="37581"/>
    <cellStyle name="常规(小) 48 3 4" xfId="37583"/>
    <cellStyle name="常规(小) 48 3 5" xfId="37585"/>
    <cellStyle name="常规(小) 48 3 6" xfId="37587"/>
    <cellStyle name="常规(小) 48 3 7" xfId="37589"/>
    <cellStyle name="常规(小) 48 3 8" xfId="37591"/>
    <cellStyle name="常规(小) 48 4" xfId="5698"/>
    <cellStyle name="常规(小) 48 5" xfId="37593"/>
    <cellStyle name="常规(小) 48 6" xfId="37595"/>
    <cellStyle name="常规(小) 48 7" xfId="37597"/>
    <cellStyle name="常规(小) 48 8" xfId="37599"/>
    <cellStyle name="常规(小) 48 9" xfId="37601"/>
    <cellStyle name="常规(小) 49" xfId="37603"/>
    <cellStyle name="常规(小) 49 10" xfId="37605"/>
    <cellStyle name="常规(小) 49 2" xfId="37607"/>
    <cellStyle name="常规(小) 49 2 2" xfId="37609"/>
    <cellStyle name="常规(小) 49 2 3" xfId="9649"/>
    <cellStyle name="常规(小) 49 2 4" xfId="9654"/>
    <cellStyle name="常规(小) 49 2 5" xfId="9659"/>
    <cellStyle name="常规(小) 49 2 6" xfId="9664"/>
    <cellStyle name="常规(小) 49 2 7" xfId="9669"/>
    <cellStyle name="常规(小) 49 2 8" xfId="9674"/>
    <cellStyle name="常规(小) 49 3" xfId="34429"/>
    <cellStyle name="常规(小) 49 3 2" xfId="37611"/>
    <cellStyle name="常规(小) 49 3 3" xfId="37613"/>
    <cellStyle name="常规(小) 49 3 4" xfId="37615"/>
    <cellStyle name="常规(小) 49 3 5" xfId="37617"/>
    <cellStyle name="常规(小) 49 3 6" xfId="37619"/>
    <cellStyle name="常规(小) 49 3 7" xfId="37621"/>
    <cellStyle name="常规(小) 49 3 8" xfId="37623"/>
    <cellStyle name="常规(小) 49 4" xfId="34432"/>
    <cellStyle name="常规(小) 49 5" xfId="37625"/>
    <cellStyle name="常规(小) 49 6" xfId="37627"/>
    <cellStyle name="常规(小) 49 7" xfId="37629"/>
    <cellStyle name="常规(小) 49 8" xfId="37631"/>
    <cellStyle name="常规(小) 49 9" xfId="37633"/>
    <cellStyle name="常规(小) 5" xfId="37635"/>
    <cellStyle name="常规(小) 5 10" xfId="37636"/>
    <cellStyle name="常规(小) 5 2" xfId="37637"/>
    <cellStyle name="常规(小) 5 2 2" xfId="37638"/>
    <cellStyle name="常规(小) 5 2 3" xfId="37639"/>
    <cellStyle name="常规(小) 5 2 4" xfId="37640"/>
    <cellStyle name="常规(小) 5 2 5" xfId="37641"/>
    <cellStyle name="常规(小) 5 2 6" xfId="37642"/>
    <cellStyle name="常规(小) 5 2 7" xfId="37643"/>
    <cellStyle name="常规(小) 5 2 8" xfId="37644"/>
    <cellStyle name="常规(小) 5 3" xfId="37645"/>
    <cellStyle name="常规(小) 5 3 2" xfId="21405"/>
    <cellStyle name="常规(小) 5 3 3" xfId="21412"/>
    <cellStyle name="常规(小) 5 3 4" xfId="21419"/>
    <cellStyle name="常规(小) 5 3 5" xfId="21426"/>
    <cellStyle name="常规(小) 5 3 6" xfId="37646"/>
    <cellStyle name="常规(小) 5 3 7" xfId="37647"/>
    <cellStyle name="常规(小) 5 3 8" xfId="37648"/>
    <cellStyle name="常规(小) 5 4" xfId="37649"/>
    <cellStyle name="常规(小) 5 5" xfId="37650"/>
    <cellStyle name="常规(小) 5 6" xfId="37651"/>
    <cellStyle name="常规(小) 5 7" xfId="37652"/>
    <cellStyle name="常规(小) 5 8" xfId="37653"/>
    <cellStyle name="常规(小) 5 9" xfId="37654"/>
    <cellStyle name="常规(小) 50" xfId="20259"/>
    <cellStyle name="常规(小) 50 10" xfId="37469"/>
    <cellStyle name="常规(小) 50 2" xfId="37471"/>
    <cellStyle name="常规(小) 50 2 2" xfId="37473"/>
    <cellStyle name="常规(小) 50 2 3" xfId="22140"/>
    <cellStyle name="常规(小) 50 2 4" xfId="22145"/>
    <cellStyle name="常规(小) 50 2 5" xfId="22150"/>
    <cellStyle name="常规(小) 50 2 6" xfId="22155"/>
    <cellStyle name="常规(小) 50 2 7" xfId="22160"/>
    <cellStyle name="常规(小) 50 2 8" xfId="22164"/>
    <cellStyle name="常规(小) 50 3" xfId="37475"/>
    <cellStyle name="常规(小) 50 3 2" xfId="37477"/>
    <cellStyle name="常规(小) 50 3 3" xfId="37479"/>
    <cellStyle name="常规(小) 50 3 4" xfId="37481"/>
    <cellStyle name="常规(小) 50 3 5" xfId="37483"/>
    <cellStyle name="常规(小) 50 3 6" xfId="37485"/>
    <cellStyle name="常规(小) 50 3 7" xfId="37487"/>
    <cellStyle name="常规(小) 50 3 8" xfId="37489"/>
    <cellStyle name="常规(小) 50 4" xfId="37491"/>
    <cellStyle name="常规(小) 50 5" xfId="37493"/>
    <cellStyle name="常规(小) 50 6" xfId="37495"/>
    <cellStyle name="常规(小) 50 7" xfId="37497"/>
    <cellStyle name="常规(小) 50 8" xfId="37499"/>
    <cellStyle name="常规(小) 50 9" xfId="37501"/>
    <cellStyle name="常规(小) 51" xfId="20266"/>
    <cellStyle name="常规(小) 51 10" xfId="37503"/>
    <cellStyle name="常规(小) 51 2" xfId="37505"/>
    <cellStyle name="常规(小) 51 2 2" xfId="37507"/>
    <cellStyle name="常规(小) 51 2 3" xfId="22192"/>
    <cellStyle name="常规(小) 51 2 4" xfId="22196"/>
    <cellStyle name="常规(小) 51 2 5" xfId="22200"/>
    <cellStyle name="常规(小) 51 2 6" xfId="22204"/>
    <cellStyle name="常规(小) 51 2 7" xfId="22208"/>
    <cellStyle name="常规(小) 51 2 8" xfId="18654"/>
    <cellStyle name="常规(小) 51 3" xfId="37509"/>
    <cellStyle name="常规(小) 51 3 2" xfId="37511"/>
    <cellStyle name="常规(小) 51 3 3" xfId="37513"/>
    <cellStyle name="常规(小) 51 3 4" xfId="37515"/>
    <cellStyle name="常规(小) 51 3 5" xfId="37517"/>
    <cellStyle name="常规(小) 51 3 6" xfId="37519"/>
    <cellStyle name="常规(小) 51 3 7" xfId="37521"/>
    <cellStyle name="常规(小) 51 3 8" xfId="37523"/>
    <cellStyle name="常规(小) 51 4" xfId="37525"/>
    <cellStyle name="常规(小) 51 5" xfId="37527"/>
    <cellStyle name="常规(小) 51 6" xfId="37529"/>
    <cellStyle name="常规(小) 51 7" xfId="37531"/>
    <cellStyle name="常规(小) 51 8" xfId="37533"/>
    <cellStyle name="常规(小) 51 9" xfId="37535"/>
    <cellStyle name="常规(小) 52" xfId="37537"/>
    <cellStyle name="常规(小) 52 10" xfId="37539"/>
    <cellStyle name="常规(小) 52 2" xfId="37541"/>
    <cellStyle name="常规(小) 52 2 2" xfId="37543"/>
    <cellStyle name="常规(小) 52 2 3" xfId="22241"/>
    <cellStyle name="常规(小) 52 2 4" xfId="22245"/>
    <cellStyle name="常规(小) 52 2 5" xfId="22249"/>
    <cellStyle name="常规(小) 52 2 6" xfId="22253"/>
    <cellStyle name="常规(小) 52 2 7" xfId="22257"/>
    <cellStyle name="常规(小) 52 2 8" xfId="22261"/>
    <cellStyle name="常规(小) 52 3" xfId="37545"/>
    <cellStyle name="常规(小) 52 3 2" xfId="37547"/>
    <cellStyle name="常规(小) 52 3 3" xfId="37549"/>
    <cellStyle name="常规(小) 52 3 4" xfId="37551"/>
    <cellStyle name="常规(小) 52 3 5" xfId="37553"/>
    <cellStyle name="常规(小) 52 3 6" xfId="37555"/>
    <cellStyle name="常规(小) 52 3 7" xfId="37557"/>
    <cellStyle name="常规(小) 52 3 8" xfId="37559"/>
    <cellStyle name="常规(小) 52 4" xfId="37561"/>
    <cellStyle name="常规(小) 52 5" xfId="37563"/>
    <cellStyle name="常规(小) 52 6" xfId="37565"/>
    <cellStyle name="常规(小) 52 7" xfId="37567"/>
    <cellStyle name="常规(小) 52 8" xfId="37569"/>
    <cellStyle name="常规(小) 52 9" xfId="37571"/>
    <cellStyle name="常规(小) 53" xfId="37573"/>
    <cellStyle name="常规(小) 53 10" xfId="37575"/>
    <cellStyle name="常规(小) 53 2" xfId="4029"/>
    <cellStyle name="常规(小) 53 2 2" xfId="37577"/>
    <cellStyle name="常规(小) 53 2 3" xfId="22289"/>
    <cellStyle name="常规(小) 53 2 4" xfId="22293"/>
    <cellStyle name="常规(小) 53 2 5" xfId="22297"/>
    <cellStyle name="常规(小) 53 2 6" xfId="22301"/>
    <cellStyle name="常规(小) 53 2 7" xfId="22305"/>
    <cellStyle name="常规(小) 53 2 8" xfId="22309"/>
    <cellStyle name="常规(小) 53 3" xfId="143"/>
    <cellStyle name="常规(小) 53 3 2" xfId="37579"/>
    <cellStyle name="常规(小) 53 3 3" xfId="37582"/>
    <cellStyle name="常规(小) 53 3 4" xfId="37584"/>
    <cellStyle name="常规(小) 53 3 5" xfId="37586"/>
    <cellStyle name="常规(小) 53 3 6" xfId="37588"/>
    <cellStyle name="常规(小) 53 3 7" xfId="37590"/>
    <cellStyle name="常规(小) 53 3 8" xfId="37592"/>
    <cellStyle name="常规(小) 53 4" xfId="5697"/>
    <cellStyle name="常规(小) 53 5" xfId="37594"/>
    <cellStyle name="常规(小) 53 6" xfId="37596"/>
    <cellStyle name="常规(小) 53 7" xfId="37598"/>
    <cellStyle name="常规(小) 53 8" xfId="37600"/>
    <cellStyle name="常规(小) 53 9" xfId="37602"/>
    <cellStyle name="常规(小) 54" xfId="37604"/>
    <cellStyle name="常规(小) 54 10" xfId="37606"/>
    <cellStyle name="常规(小) 54 2" xfId="37608"/>
    <cellStyle name="常规(小) 54 2 2" xfId="37610"/>
    <cellStyle name="常规(小) 54 2 3" xfId="9648"/>
    <cellStyle name="常规(小) 54 2 4" xfId="9653"/>
    <cellStyle name="常规(小) 54 2 5" xfId="9658"/>
    <cellStyle name="常规(小) 54 2 6" xfId="9663"/>
    <cellStyle name="常规(小) 54 2 7" xfId="9668"/>
    <cellStyle name="常规(小) 54 2 8" xfId="9673"/>
    <cellStyle name="常规(小) 54 3" xfId="34430"/>
    <cellStyle name="常规(小) 54 3 2" xfId="37612"/>
    <cellStyle name="常规(小) 54 3 3" xfId="37614"/>
    <cellStyle name="常规(小) 54 3 4" xfId="37616"/>
    <cellStyle name="常规(小) 54 3 5" xfId="37618"/>
    <cellStyle name="常规(小) 54 3 6" xfId="37620"/>
    <cellStyle name="常规(小) 54 3 7" xfId="37622"/>
    <cellStyle name="常规(小) 54 3 8" xfId="37624"/>
    <cellStyle name="常规(小) 54 4" xfId="34433"/>
    <cellStyle name="常规(小) 54 5" xfId="37626"/>
    <cellStyle name="常规(小) 54 6" xfId="37628"/>
    <cellStyle name="常规(小) 54 7" xfId="37630"/>
    <cellStyle name="常规(小) 54 8" xfId="37632"/>
    <cellStyle name="常规(小) 54 9" xfId="37634"/>
    <cellStyle name="常规(小) 55" xfId="37655"/>
    <cellStyle name="常规(小) 55 10" xfId="37657"/>
    <cellStyle name="常规(小) 55 2" xfId="37659"/>
    <cellStyle name="常规(小) 55 2 2" xfId="37661"/>
    <cellStyle name="常规(小) 55 2 3" xfId="22324"/>
    <cellStyle name="常规(小) 55 2 4" xfId="22328"/>
    <cellStyle name="常规(小) 55 2 5" xfId="22332"/>
    <cellStyle name="常规(小) 55 2 6" xfId="22336"/>
    <cellStyle name="常规(小) 55 2 7" xfId="22340"/>
    <cellStyle name="常规(小) 55 2 8" xfId="21450"/>
    <cellStyle name="常规(小) 55 3" xfId="34435"/>
    <cellStyle name="常规(小) 55 3 2" xfId="37663"/>
    <cellStyle name="常规(小) 55 3 3" xfId="37665"/>
    <cellStyle name="常规(小) 55 3 4" xfId="37667"/>
    <cellStyle name="常规(小) 55 3 5" xfId="37669"/>
    <cellStyle name="常规(小) 55 3 6" xfId="37671"/>
    <cellStyle name="常规(小) 55 3 7" xfId="37673"/>
    <cellStyle name="常规(小) 55 3 8" xfId="37675"/>
    <cellStyle name="常规(小) 55 4" xfId="34438"/>
    <cellStyle name="常规(小) 55 5" xfId="37677"/>
    <cellStyle name="常规(小) 55 6" xfId="37679"/>
    <cellStyle name="常规(小) 55 7" xfId="37681"/>
    <cellStyle name="常规(小) 55 8" xfId="37683"/>
    <cellStyle name="常规(小) 55 9" xfId="37685"/>
    <cellStyle name="常规(小) 56" xfId="37687"/>
    <cellStyle name="常规(小) 56 10" xfId="37689"/>
    <cellStyle name="常规(小) 56 2" xfId="37691"/>
    <cellStyle name="常规(小) 56 2 2" xfId="37693"/>
    <cellStyle name="常规(小) 56 2 3" xfId="22362"/>
    <cellStyle name="常规(小) 56 2 4" xfId="22367"/>
    <cellStyle name="常规(小) 56 2 5" xfId="22372"/>
    <cellStyle name="常规(小) 56 2 6" xfId="22377"/>
    <cellStyle name="常规(小) 56 2 7" xfId="22382"/>
    <cellStyle name="常规(小) 56 2 8" xfId="22387"/>
    <cellStyle name="常规(小) 56 3" xfId="34441"/>
    <cellStyle name="常规(小) 56 3 2" xfId="37695"/>
    <cellStyle name="常规(小) 56 3 3" xfId="37697"/>
    <cellStyle name="常规(小) 56 3 4" xfId="37699"/>
    <cellStyle name="常规(小) 56 3 5" xfId="37701"/>
    <cellStyle name="常规(小) 56 3 6" xfId="37703"/>
    <cellStyle name="常规(小) 56 3 7" xfId="37705"/>
    <cellStyle name="常规(小) 56 3 8" xfId="37707"/>
    <cellStyle name="常规(小) 56 4" xfId="34444"/>
    <cellStyle name="常规(小) 56 5" xfId="37709"/>
    <cellStyle name="常规(小) 56 6" xfId="37711"/>
    <cellStyle name="常规(小) 56 7" xfId="37713"/>
    <cellStyle name="常规(小) 56 8" xfId="37715"/>
    <cellStyle name="常规(小) 56 9" xfId="37717"/>
    <cellStyle name="常规(小) 57" xfId="37719"/>
    <cellStyle name="常规(小) 57 10" xfId="37721"/>
    <cellStyle name="常规(小) 57 2" xfId="37723"/>
    <cellStyle name="常规(小) 57 2 2" xfId="37725"/>
    <cellStyle name="常规(小) 57 2 3" xfId="22410"/>
    <cellStyle name="常规(小) 57 2 4" xfId="22414"/>
    <cellStyle name="常规(小) 57 2 5" xfId="22418"/>
    <cellStyle name="常规(小) 57 2 6" xfId="22422"/>
    <cellStyle name="常规(小) 57 2 7" xfId="22426"/>
    <cellStyle name="常规(小) 57 2 8" xfId="22430"/>
    <cellStyle name="常规(小) 57 3" xfId="34448"/>
    <cellStyle name="常规(小) 57 3 2" xfId="37727"/>
    <cellStyle name="常规(小) 57 3 3" xfId="37729"/>
    <cellStyle name="常规(小) 57 3 4" xfId="37731"/>
    <cellStyle name="常规(小) 57 3 5" xfId="37733"/>
    <cellStyle name="常规(小) 57 3 6" xfId="37735"/>
    <cellStyle name="常规(小) 57 3 7" xfId="37737"/>
    <cellStyle name="常规(小) 57 3 8" xfId="37739"/>
    <cellStyle name="常规(小) 57 4" xfId="34451"/>
    <cellStyle name="常规(小) 57 5" xfId="37741"/>
    <cellStyle name="常规(小) 57 6" xfId="37743"/>
    <cellStyle name="常规(小) 57 7" xfId="37745"/>
    <cellStyle name="常规(小) 57 8" xfId="37747"/>
    <cellStyle name="常规(小) 57 9" xfId="37749"/>
    <cellStyle name="常规(小) 58" xfId="37751"/>
    <cellStyle name="常规(小) 58 10" xfId="37753"/>
    <cellStyle name="常规(小) 58 2" xfId="33759"/>
    <cellStyle name="常规(小) 58 2 2" xfId="37755"/>
    <cellStyle name="常规(小) 58 2 3" xfId="6859"/>
    <cellStyle name="常规(小) 58 2 4" xfId="6872"/>
    <cellStyle name="常规(小) 58 2 5" xfId="22459"/>
    <cellStyle name="常规(小) 58 2 6" xfId="22462"/>
    <cellStyle name="常规(小) 58 2 7" xfId="22465"/>
    <cellStyle name="常规(小) 58 2 8" xfId="22468"/>
    <cellStyle name="常规(小) 58 3" xfId="34455"/>
    <cellStyle name="常规(小) 58 3 2" xfId="37757"/>
    <cellStyle name="常规(小) 58 3 3" xfId="37760"/>
    <cellStyle name="常规(小) 58 3 4" xfId="37762"/>
    <cellStyle name="常规(小) 58 3 5" xfId="37764"/>
    <cellStyle name="常规(小) 58 3 6" xfId="37766"/>
    <cellStyle name="常规(小) 58 3 7" xfId="37768"/>
    <cellStyle name="常规(小) 58 3 8" xfId="37770"/>
    <cellStyle name="常规(小) 58 4" xfId="34458"/>
    <cellStyle name="常规(小) 58 5" xfId="37772"/>
    <cellStyle name="常规(小) 58 6" xfId="37774"/>
    <cellStyle name="常规(小) 58 7" xfId="37776"/>
    <cellStyle name="常规(小) 58 8" xfId="37778"/>
    <cellStyle name="常规(小) 58 9" xfId="37780"/>
    <cellStyle name="常规(小) 59" xfId="37782"/>
    <cellStyle name="常规(小) 59 10" xfId="29810"/>
    <cellStyle name="常规(小) 59 2" xfId="37784"/>
    <cellStyle name="常规(小) 59 2 2" xfId="37786"/>
    <cellStyle name="常规(小) 59 2 3" xfId="22481"/>
    <cellStyle name="常规(小) 59 2 4" xfId="22484"/>
    <cellStyle name="常规(小) 59 2 5" xfId="22487"/>
    <cellStyle name="常规(小) 59 2 6" xfId="22490"/>
    <cellStyle name="常规(小) 59 2 7" xfId="22493"/>
    <cellStyle name="常规(小) 59 2 8" xfId="22496"/>
    <cellStyle name="常规(小) 59 3" xfId="34462"/>
    <cellStyle name="常规(小) 59 3 2" xfId="37788"/>
    <cellStyle name="常规(小) 59 3 3" xfId="37790"/>
    <cellStyle name="常规(小) 59 3 4" xfId="37792"/>
    <cellStyle name="常规(小) 59 3 5" xfId="37794"/>
    <cellStyle name="常规(小) 59 3 6" xfId="37796"/>
    <cellStyle name="常规(小) 59 3 7" xfId="37798"/>
    <cellStyle name="常规(小) 59 3 8" xfId="37800"/>
    <cellStyle name="常规(小) 59 4" xfId="34465"/>
    <cellStyle name="常规(小) 59 5" xfId="37802"/>
    <cellStyle name="常规(小) 59 6" xfId="37804"/>
    <cellStyle name="常规(小) 59 7" xfId="37806"/>
    <cellStyle name="常规(小) 59 8" xfId="37808"/>
    <cellStyle name="常规(小) 59 9" xfId="37810"/>
    <cellStyle name="常规(小) 6" xfId="37812"/>
    <cellStyle name="常规(小) 6 10" xfId="37813"/>
    <cellStyle name="常规(小) 6 2" xfId="37814"/>
    <cellStyle name="常规(小) 6 2 2" xfId="37815"/>
    <cellStyle name="常规(小) 6 2 3" xfId="37816"/>
    <cellStyle name="常规(小) 6 2 4" xfId="37817"/>
    <cellStyle name="常规(小) 6 2 5" xfId="37818"/>
    <cellStyle name="常规(小) 6 2 6" xfId="37819"/>
    <cellStyle name="常规(小) 6 2 7" xfId="37820"/>
    <cellStyle name="常规(小) 6 2 8" xfId="37821"/>
    <cellStyle name="常规(小) 6 3" xfId="37822"/>
    <cellStyle name="常规(小) 6 3 2" xfId="21475"/>
    <cellStyle name="常规(小) 6 3 3" xfId="21482"/>
    <cellStyle name="常规(小) 6 3 4" xfId="21489"/>
    <cellStyle name="常规(小) 6 3 5" xfId="21496"/>
    <cellStyle name="常规(小) 6 3 6" xfId="37823"/>
    <cellStyle name="常规(小) 6 3 7" xfId="37824"/>
    <cellStyle name="常规(小) 6 3 8" xfId="37825"/>
    <cellStyle name="常规(小) 6 4" xfId="37826"/>
    <cellStyle name="常规(小) 6 5" xfId="37827"/>
    <cellStyle name="常规(小) 6 6" xfId="37828"/>
    <cellStyle name="常规(小) 6 7" xfId="37829"/>
    <cellStyle name="常规(小) 6 8" xfId="37830"/>
    <cellStyle name="常规(小) 6 9" xfId="37831"/>
    <cellStyle name="常规(小) 60" xfId="37656"/>
    <cellStyle name="常规(小) 60 10" xfId="37658"/>
    <cellStyle name="常规(小) 60 2" xfId="37660"/>
    <cellStyle name="常规(小) 60 2 2" xfId="37662"/>
    <cellStyle name="常规(小) 60 2 3" xfId="22323"/>
    <cellStyle name="常规(小) 60 2 4" xfId="22327"/>
    <cellStyle name="常规(小) 60 2 5" xfId="22331"/>
    <cellStyle name="常规(小) 60 2 6" xfId="22335"/>
    <cellStyle name="常规(小) 60 2 7" xfId="22339"/>
    <cellStyle name="常规(小) 60 2 8" xfId="21449"/>
    <cellStyle name="常规(小) 60 3" xfId="34436"/>
    <cellStyle name="常规(小) 60 3 2" xfId="37664"/>
    <cellStyle name="常规(小) 60 3 3" xfId="37666"/>
    <cellStyle name="常规(小) 60 3 4" xfId="37668"/>
    <cellStyle name="常规(小) 60 3 5" xfId="37670"/>
    <cellStyle name="常规(小) 60 3 6" xfId="37672"/>
    <cellStyle name="常规(小) 60 3 7" xfId="37674"/>
    <cellStyle name="常规(小) 60 3 8" xfId="37676"/>
    <cellStyle name="常规(小) 60 4" xfId="34439"/>
    <cellStyle name="常规(小) 60 5" xfId="37678"/>
    <cellStyle name="常规(小) 60 6" xfId="37680"/>
    <cellStyle name="常规(小) 60 7" xfId="37682"/>
    <cellStyle name="常规(小) 60 8" xfId="37684"/>
    <cellStyle name="常规(小) 60 9" xfId="37686"/>
    <cellStyle name="常规(小) 61" xfId="37688"/>
    <cellStyle name="常规(小) 61 10" xfId="37690"/>
    <cellStyle name="常规(小) 61 2" xfId="37692"/>
    <cellStyle name="常规(小) 61 2 2" xfId="37694"/>
    <cellStyle name="常规(小) 61 2 3" xfId="22361"/>
    <cellStyle name="常规(小) 61 2 4" xfId="22366"/>
    <cellStyle name="常规(小) 61 2 5" xfId="22371"/>
    <cellStyle name="常规(小) 61 2 6" xfId="22376"/>
    <cellStyle name="常规(小) 61 2 7" xfId="22381"/>
    <cellStyle name="常规(小) 61 2 8" xfId="22386"/>
    <cellStyle name="常规(小) 61 3" xfId="34442"/>
    <cellStyle name="常规(小) 61 3 2" xfId="37696"/>
    <cellStyle name="常规(小) 61 3 3" xfId="37698"/>
    <cellStyle name="常规(小) 61 3 4" xfId="37700"/>
    <cellStyle name="常规(小) 61 3 5" xfId="37702"/>
    <cellStyle name="常规(小) 61 3 6" xfId="37704"/>
    <cellStyle name="常规(小) 61 3 7" xfId="37706"/>
    <cellStyle name="常规(小) 61 3 8" xfId="37708"/>
    <cellStyle name="常规(小) 61 4" xfId="34445"/>
    <cellStyle name="常规(小) 61 5" xfId="37710"/>
    <cellStyle name="常规(小) 61 6" xfId="37712"/>
    <cellStyle name="常规(小) 61 7" xfId="37714"/>
    <cellStyle name="常规(小) 61 8" xfId="37716"/>
    <cellStyle name="常规(小) 61 9" xfId="37718"/>
    <cellStyle name="常规(小) 62" xfId="37720"/>
    <cellStyle name="常规(小) 62 10" xfId="37722"/>
    <cellStyle name="常规(小) 62 2" xfId="37724"/>
    <cellStyle name="常规(小) 62 2 2" xfId="37726"/>
    <cellStyle name="常规(小) 62 2 3" xfId="22409"/>
    <cellStyle name="常规(小) 62 2 4" xfId="22413"/>
    <cellStyle name="常规(小) 62 2 5" xfId="22417"/>
    <cellStyle name="常规(小) 62 2 6" xfId="22421"/>
    <cellStyle name="常规(小) 62 2 7" xfId="22425"/>
    <cellStyle name="常规(小) 62 2 8" xfId="22429"/>
    <cellStyle name="常规(小) 62 3" xfId="34449"/>
    <cellStyle name="常规(小) 62 3 2" xfId="37728"/>
    <cellStyle name="常规(小) 62 3 3" xfId="37730"/>
    <cellStyle name="常规(小) 62 3 4" xfId="37732"/>
    <cellStyle name="常规(小) 62 3 5" xfId="37734"/>
    <cellStyle name="常规(小) 62 3 6" xfId="37736"/>
    <cellStyle name="常规(小) 62 3 7" xfId="37738"/>
    <cellStyle name="常规(小) 62 3 8" xfId="37740"/>
    <cellStyle name="常规(小) 62 4" xfId="34452"/>
    <cellStyle name="常规(小) 62 5" xfId="37742"/>
    <cellStyle name="常规(小) 62 6" xfId="37744"/>
    <cellStyle name="常规(小) 62 7" xfId="37746"/>
    <cellStyle name="常规(小) 62 8" xfId="37748"/>
    <cellStyle name="常规(小) 62 9" xfId="37750"/>
    <cellStyle name="常规(小) 63" xfId="37752"/>
    <cellStyle name="常规(小) 63 10" xfId="37754"/>
    <cellStyle name="常规(小) 63 2" xfId="33760"/>
    <cellStyle name="常规(小) 63 2 2" xfId="37756"/>
    <cellStyle name="常规(小) 63 2 3" xfId="6858"/>
    <cellStyle name="常规(小) 63 2 4" xfId="6871"/>
    <cellStyle name="常规(小) 63 2 5" xfId="22458"/>
    <cellStyle name="常规(小) 63 2 6" xfId="22461"/>
    <cellStyle name="常规(小) 63 2 7" xfId="22464"/>
    <cellStyle name="常规(小) 63 2 8" xfId="22467"/>
    <cellStyle name="常规(小) 63 3" xfId="34456"/>
    <cellStyle name="常规(小) 63 3 2" xfId="37758"/>
    <cellStyle name="常规(小) 63 3 3" xfId="37761"/>
    <cellStyle name="常规(小) 63 3 4" xfId="37763"/>
    <cellStyle name="常规(小) 63 3 5" xfId="37765"/>
    <cellStyle name="常规(小) 63 3 6" xfId="37767"/>
    <cellStyle name="常规(小) 63 3 7" xfId="37769"/>
    <cellStyle name="常规(小) 63 3 8" xfId="37771"/>
    <cellStyle name="常规(小) 63 4" xfId="34459"/>
    <cellStyle name="常规(小) 63 5" xfId="37773"/>
    <cellStyle name="常规(小) 63 6" xfId="37775"/>
    <cellStyle name="常规(小) 63 7" xfId="37777"/>
    <cellStyle name="常规(小) 63 8" xfId="37779"/>
    <cellStyle name="常规(小) 63 9" xfId="37781"/>
    <cellStyle name="常规(小) 64" xfId="37783"/>
    <cellStyle name="常规(小) 64 10" xfId="29809"/>
    <cellStyle name="常规(小) 64 2" xfId="37785"/>
    <cellStyle name="常规(小) 64 2 2" xfId="37787"/>
    <cellStyle name="常规(小) 64 2 3" xfId="22480"/>
    <cellStyle name="常规(小) 64 2 4" xfId="22483"/>
    <cellStyle name="常规(小) 64 2 5" xfId="22486"/>
    <cellStyle name="常规(小) 64 2 6" xfId="22489"/>
    <cellStyle name="常规(小) 64 2 7" xfId="22492"/>
    <cellStyle name="常规(小) 64 2 8" xfId="22495"/>
    <cellStyle name="常规(小) 64 3" xfId="34463"/>
    <cellStyle name="常规(小) 64 3 2" xfId="37789"/>
    <cellStyle name="常规(小) 64 3 3" xfId="37791"/>
    <cellStyle name="常规(小) 64 3 4" xfId="37793"/>
    <cellStyle name="常规(小) 64 3 5" xfId="37795"/>
    <cellStyle name="常规(小) 64 3 6" xfId="37797"/>
    <cellStyle name="常规(小) 64 3 7" xfId="37799"/>
    <cellStyle name="常规(小) 64 3 8" xfId="37801"/>
    <cellStyle name="常规(小) 64 4" xfId="34466"/>
    <cellStyle name="常规(小) 64 5" xfId="37803"/>
    <cellStyle name="常规(小) 64 6" xfId="37805"/>
    <cellStyle name="常规(小) 64 7" xfId="37807"/>
    <cellStyle name="常规(小) 64 8" xfId="37809"/>
    <cellStyle name="常规(小) 64 9" xfId="37811"/>
    <cellStyle name="常规(小) 65" xfId="37832"/>
    <cellStyle name="常规(小) 65 10" xfId="29936"/>
    <cellStyle name="常规(小) 65 2" xfId="37834"/>
    <cellStyle name="常规(小) 65 2 2" xfId="37835"/>
    <cellStyle name="常规(小) 65 2 3" xfId="37836"/>
    <cellStyle name="常规(小) 65 2 4" xfId="37837"/>
    <cellStyle name="常规(小) 65 2 5" xfId="37838"/>
    <cellStyle name="常规(小) 65 2 6" xfId="37839"/>
    <cellStyle name="常规(小) 65 2 7" xfId="37840"/>
    <cellStyle name="常规(小) 65 2 8" xfId="37841"/>
    <cellStyle name="常规(小) 65 3" xfId="34469"/>
    <cellStyle name="常规(小) 65 3 2" xfId="37842"/>
    <cellStyle name="常规(小) 65 3 3" xfId="37843"/>
    <cellStyle name="常规(小) 65 3 4" xfId="37844"/>
    <cellStyle name="常规(小) 65 3 5" xfId="37845"/>
    <cellStyle name="常规(小) 65 3 6" xfId="37846"/>
    <cellStyle name="常规(小) 65 3 7" xfId="37847"/>
    <cellStyle name="常规(小) 65 3 8" xfId="37848"/>
    <cellStyle name="常规(小) 65 4" xfId="34471"/>
    <cellStyle name="常规(小) 65 5" xfId="37849"/>
    <cellStyle name="常规(小) 65 6" xfId="37850"/>
    <cellStyle name="常规(小) 65 7" xfId="37851"/>
    <cellStyle name="常规(小) 65 8" xfId="37852"/>
    <cellStyle name="常规(小) 65 9" xfId="37853"/>
    <cellStyle name="常规(小) 66" xfId="37854"/>
    <cellStyle name="常规(小) 66 10" xfId="31023"/>
    <cellStyle name="常规(小) 66 2" xfId="37856"/>
    <cellStyle name="常规(小) 66 2 2" xfId="37857"/>
    <cellStyle name="常规(小) 66 2 3" xfId="37858"/>
    <cellStyle name="常规(小) 66 2 4" xfId="37859"/>
    <cellStyle name="常规(小) 66 2 5" xfId="37860"/>
    <cellStyle name="常规(小) 66 2 6" xfId="37861"/>
    <cellStyle name="常规(小) 66 2 7" xfId="37862"/>
    <cellStyle name="常规(小) 66 2 8" xfId="37863"/>
    <cellStyle name="常规(小) 66 3" xfId="37864"/>
    <cellStyle name="常规(小) 66 3 2" xfId="37865"/>
    <cellStyle name="常规(小) 66 3 3" xfId="37866"/>
    <cellStyle name="常规(小) 66 3 4" xfId="37867"/>
    <cellStyle name="常规(小) 66 3 5" xfId="37868"/>
    <cellStyle name="常规(小) 66 3 6" xfId="37869"/>
    <cellStyle name="常规(小) 66 3 7" xfId="37870"/>
    <cellStyle name="常规(小) 66 3 8" xfId="37871"/>
    <cellStyle name="常规(小) 66 4" xfId="37872"/>
    <cellStyle name="常规(小) 66 5" xfId="37873"/>
    <cellStyle name="常规(小) 66 6" xfId="37874"/>
    <cellStyle name="常规(小) 66 7" xfId="37875"/>
    <cellStyle name="常规(小) 66 8" xfId="37876"/>
    <cellStyle name="常规(小) 66 9" xfId="37877"/>
    <cellStyle name="常规(小) 67" xfId="37878"/>
    <cellStyle name="常规(小) 67 2" xfId="37880"/>
    <cellStyle name="常规(小) 67 3" xfId="37881"/>
    <cellStyle name="常规(小) 67 4" xfId="37882"/>
    <cellStyle name="常规(小) 67 5" xfId="37883"/>
    <cellStyle name="常规(小) 67 6" xfId="37884"/>
    <cellStyle name="常规(小) 67 7" xfId="37885"/>
    <cellStyle name="常规(小) 67 8" xfId="37886"/>
    <cellStyle name="常规(小) 68" xfId="37887"/>
    <cellStyle name="常规(小) 68 2" xfId="37889"/>
    <cellStyle name="常规(小) 68 3" xfId="37890"/>
    <cellStyle name="常规(小) 68 4" xfId="37891"/>
    <cellStyle name="常规(小) 68 5" xfId="37892"/>
    <cellStyle name="常规(小) 68 6" xfId="37893"/>
    <cellStyle name="常规(小) 68 7" xfId="37894"/>
    <cellStyle name="常规(小) 68 8" xfId="37895"/>
    <cellStyle name="常规(小) 69" xfId="37896"/>
    <cellStyle name="常规(小) 7" xfId="37898"/>
    <cellStyle name="常规(小) 7 10" xfId="34011"/>
    <cellStyle name="常规(小) 7 2" xfId="37899"/>
    <cellStyle name="常规(小) 7 2 2" xfId="37900"/>
    <cellStyle name="常规(小) 7 2 3" xfId="37901"/>
    <cellStyle name="常规(小) 7 2 4" xfId="37903"/>
    <cellStyle name="常规(小) 7 2 5" xfId="37905"/>
    <cellStyle name="常规(小) 7 2 6" xfId="37907"/>
    <cellStyle name="常规(小) 7 2 7" xfId="37909"/>
    <cellStyle name="常规(小) 7 2 8" xfId="37911"/>
    <cellStyle name="常规(小) 7 3" xfId="37913"/>
    <cellStyle name="常规(小) 7 3 2" xfId="21547"/>
    <cellStyle name="常规(小) 7 3 3" xfId="21555"/>
    <cellStyle name="常规(小) 7 3 4" xfId="21563"/>
    <cellStyle name="常规(小) 7 3 5" xfId="21571"/>
    <cellStyle name="常规(小) 7 3 6" xfId="37914"/>
    <cellStyle name="常规(小) 7 3 7" xfId="37916"/>
    <cellStyle name="常规(小) 7 3 8" xfId="37918"/>
    <cellStyle name="常规(小) 7 4" xfId="37920"/>
    <cellStyle name="常规(小) 7 5" xfId="37921"/>
    <cellStyle name="常规(小) 7 6" xfId="37922"/>
    <cellStyle name="常规(小) 7 7" xfId="37923"/>
    <cellStyle name="常规(小) 7 8" xfId="37924"/>
    <cellStyle name="常规(小) 7 9" xfId="37925"/>
    <cellStyle name="常规(小) 70" xfId="37833"/>
    <cellStyle name="常规(小) 71" xfId="37855"/>
    <cellStyle name="常规(小) 72" xfId="37879"/>
    <cellStyle name="常规(小) 73" xfId="37888"/>
    <cellStyle name="常规(小) 74" xfId="37897"/>
    <cellStyle name="常规(小) 75" xfId="37926"/>
    <cellStyle name="常规(小) 8" xfId="37927"/>
    <cellStyle name="常规(小) 8 10" xfId="37928"/>
    <cellStyle name="常规(小) 8 2" xfId="37929"/>
    <cellStyle name="常规(小) 8 2 2" xfId="37930"/>
    <cellStyle name="常规(小) 8 2 3" xfId="37931"/>
    <cellStyle name="常规(小) 8 2 4" xfId="37932"/>
    <cellStyle name="常规(小) 8 2 5" xfId="37933"/>
    <cellStyle name="常规(小) 8 2 6" xfId="37934"/>
    <cellStyle name="常规(小) 8 2 7" xfId="37935"/>
    <cellStyle name="常规(小) 8 2 8" xfId="37936"/>
    <cellStyle name="常规(小) 8 3" xfId="37937"/>
    <cellStyle name="常规(小) 8 3 2" xfId="21614"/>
    <cellStyle name="常规(小) 8 3 3" xfId="21621"/>
    <cellStyle name="常规(小) 8 3 4" xfId="21628"/>
    <cellStyle name="常规(小) 8 3 5" xfId="21635"/>
    <cellStyle name="常规(小) 8 3 6" xfId="37938"/>
    <cellStyle name="常规(小) 8 3 7" xfId="37939"/>
    <cellStyle name="常规(小) 8 3 8" xfId="37940"/>
    <cellStyle name="常规(小) 8 4" xfId="37941"/>
    <cellStyle name="常规(小) 8 5" xfId="37942"/>
    <cellStyle name="常规(小) 8 6" xfId="37943"/>
    <cellStyle name="常规(小) 8 7" xfId="37944"/>
    <cellStyle name="常规(小) 8 8" xfId="37945"/>
    <cellStyle name="常规(小) 8 9" xfId="37946"/>
    <cellStyle name="常规(小) 9" xfId="37947"/>
    <cellStyle name="常规(小) 9 10" xfId="35081"/>
    <cellStyle name="常规(小) 9 2" xfId="37948"/>
    <cellStyle name="常规(小) 9 2 2" xfId="37949"/>
    <cellStyle name="常规(小) 9 2 3" xfId="37950"/>
    <cellStyle name="常规(小) 9 2 4" xfId="37951"/>
    <cellStyle name="常规(小) 9 2 5" xfId="37952"/>
    <cellStyle name="常规(小) 9 2 6" xfId="37953"/>
    <cellStyle name="常规(小) 9 2 7" xfId="37954"/>
    <cellStyle name="常规(小) 9 2 8" xfId="37955"/>
    <cellStyle name="常规(小) 9 3" xfId="37956"/>
    <cellStyle name="常规(小) 9 3 2" xfId="357"/>
    <cellStyle name="常规(小) 9 3 3" xfId="608"/>
    <cellStyle name="常规(小) 9 3 4" xfId="629"/>
    <cellStyle name="常规(小) 9 3 5" xfId="647"/>
    <cellStyle name="常规(小) 9 3 6" xfId="37957"/>
    <cellStyle name="常规(小) 9 3 7" xfId="37958"/>
    <cellStyle name="常规(小) 9 3 8" xfId="37959"/>
    <cellStyle name="常规(小) 9 4" xfId="37960"/>
    <cellStyle name="常规(小) 9 5" xfId="37961"/>
    <cellStyle name="常规(小) 9 6" xfId="37962"/>
    <cellStyle name="常规(小) 9 7" xfId="37963"/>
    <cellStyle name="常规(小) 9 8" xfId="37964"/>
    <cellStyle name="常规(小) 9 9" xfId="37965"/>
    <cellStyle name="常规_12、13栋土建总包清单（标的）001(1)" xfId="23706"/>
    <cellStyle name="常规_12、13栋土建总包清单-标书分析(终版)" xfId="37966"/>
    <cellStyle name="常规_12、13栋土建总包清单-标书分析(终版) 2" xfId="37967"/>
    <cellStyle name="常规_12、13栋土建总包清单-标书分析(终版) 3" xfId="37968"/>
    <cellStyle name="常规_Sheet1" xfId="37969"/>
    <cellStyle name="常规_Sheet1 2" xfId="37970"/>
    <cellStyle name="常规_Sheet1_复件 5.1 工程量清单 L" xfId="37971"/>
    <cellStyle name="常规_第6部分  工程量清单（-）" xfId="37972"/>
    <cellStyle name="常规_附件3-1 投标报价清单（合同价） 2 2 2_发中天2.22-按审定调整战略总包合同清单(中天)（调价）安装系数调整后4.20" xfId="37973"/>
    <cellStyle name="常规_复件 5.1 工程量清单 L" xfId="37974"/>
    <cellStyle name="常规_富丽花城电气清单" xfId="37975"/>
    <cellStyle name="常规_圣菲TOWN清单（标底） 2" xfId="37976"/>
    <cellStyle name="常规_圣菲TOWN清单（标底）_措施费_1" xfId="37977"/>
    <cellStyle name="常规_圣菲TOWN清单（标底）_措施费_3" xfId="37978"/>
    <cellStyle name="常规_四期A标段工程量清单10.18" xfId="37979"/>
    <cellStyle name="常规_土方、桩基、支护、降水工程综合单价表_2" xfId="37980"/>
    <cellStyle name="常规安装" xfId="37981"/>
    <cellStyle name="超链接 2" xfId="37982"/>
    <cellStyle name="分级显示行_1_Book1" xfId="37983"/>
    <cellStyle name="分级显示列_1_Book1" xfId="37984"/>
    <cellStyle name="好 10" xfId="37985"/>
    <cellStyle name="好 11" xfId="37986"/>
    <cellStyle name="好 12" xfId="37987"/>
    <cellStyle name="好 13" xfId="37988"/>
    <cellStyle name="好 14" xfId="37989"/>
    <cellStyle name="好 15" xfId="37990"/>
    <cellStyle name="好 2" xfId="37991"/>
    <cellStyle name="好 2 2" xfId="37992"/>
    <cellStyle name="好 3" xfId="34158"/>
    <cellStyle name="好 4" xfId="34162"/>
    <cellStyle name="好 5" xfId="34166"/>
    <cellStyle name="好 6" xfId="34170"/>
    <cellStyle name="好 7" xfId="34174"/>
    <cellStyle name="好 8" xfId="34178"/>
    <cellStyle name="好 9" xfId="37993"/>
    <cellStyle name="好_20110414015834锦绣城安装总包标底201104072" xfId="37994"/>
    <cellStyle name="好_B11-B14钢结构(栏杆.楼梯),景观铺贴,总坪管网道路,,植物工程清单模板" xfId="37995"/>
    <cellStyle name="好_B11-B14钢结构(栏杆.楼梯),景观铺贴,总坪管网道路,,植物工程清单模板 10" xfId="37996"/>
    <cellStyle name="好_B11-B14钢结构(栏杆.楼梯),景观铺贴,总坪管网道路,,植物工程清单模板 11" xfId="37997"/>
    <cellStyle name="好_B11-B14钢结构(栏杆.楼梯),景观铺贴,总坪管网道路,,植物工程清单模板 12" xfId="37998"/>
    <cellStyle name="好_B11-B14钢结构(栏杆.楼梯),景观铺贴,总坪管网道路,,植物工程清单模板 13" xfId="37999"/>
    <cellStyle name="好_B11-B14钢结构(栏杆.楼梯),景观铺贴,总坪管网道路,,植物工程清单模板 14" xfId="38000"/>
    <cellStyle name="好_B11-B14钢结构(栏杆.楼梯),景观铺贴,总坪管网道路,,植物工程清单模板 15" xfId="38001"/>
    <cellStyle name="好_B11-B14钢结构(栏杆.楼梯),景观铺贴,总坪管网道路,,植物工程清单模板 16" xfId="38003"/>
    <cellStyle name="好_B11-B14钢结构(栏杆.楼梯),景观铺贴,总坪管网道路,,植物工程清单模板 17" xfId="38005"/>
    <cellStyle name="好_B11-B14钢结构(栏杆.楼梯),景观铺贴,总坪管网道路,,植物工程清单模板 18" xfId="38007"/>
    <cellStyle name="好_B11-B14钢结构(栏杆.楼梯),景观铺贴,总坪管网道路,,植物工程清单模板 19" xfId="38010"/>
    <cellStyle name="好_B11-B14钢结构(栏杆.楼梯),景观铺贴,总坪管网道路,,植物工程清单模板 2" xfId="38012"/>
    <cellStyle name="好_B11-B14钢结构(栏杆.楼梯),景观铺贴,总坪管网道路,,植物工程清单模板 2 10" xfId="38013"/>
    <cellStyle name="好_B11-B14钢结构(栏杆.楼梯),景观铺贴,总坪管网道路,,植物工程清单模板 2 2" xfId="38014"/>
    <cellStyle name="好_B11-B14钢结构(栏杆.楼梯),景观铺贴,总坪管网道路,,植物工程清单模板 2 3" xfId="38015"/>
    <cellStyle name="好_B11-B14钢结构(栏杆.楼梯),景观铺贴,总坪管网道路,,植物工程清单模板 2 4" xfId="38016"/>
    <cellStyle name="好_B11-B14钢结构(栏杆.楼梯),景观铺贴,总坪管网道路,,植物工程清单模板 2 5" xfId="38017"/>
    <cellStyle name="好_B11-B14钢结构(栏杆.楼梯),景观铺贴,总坪管网道路,,植物工程清单模板 2 6" xfId="38018"/>
    <cellStyle name="好_B11-B14钢结构(栏杆.楼梯),景观铺贴,总坪管网道路,,植物工程清单模板 2 7" xfId="38019"/>
    <cellStyle name="好_B11-B14钢结构(栏杆.楼梯),景观铺贴,总坪管网道路,,植物工程清单模板 2 8" xfId="38020"/>
    <cellStyle name="好_B11-B14钢结构(栏杆.楼梯),景观铺贴,总坪管网道路,,植物工程清单模板 2 9" xfId="38021"/>
    <cellStyle name="好_B11-B14钢结构(栏杆.楼梯),景观铺贴,总坪管网道路,,植物工程清单模板 20" xfId="38002"/>
    <cellStyle name="好_B11-B14钢结构(栏杆.楼梯),景观铺贴,总坪管网道路,,植物工程清单模板 21" xfId="38004"/>
    <cellStyle name="好_B11-B14钢结构(栏杆.楼梯),景观铺贴,总坪管网道路,,植物工程清单模板 22" xfId="38006"/>
    <cellStyle name="好_B11-B14钢结构(栏杆.楼梯),景观铺贴,总坪管网道路,,植物工程清单模板 22 2" xfId="38022"/>
    <cellStyle name="好_B11-B14钢结构(栏杆.楼梯),景观铺贴,总坪管网道路,,植物工程清单模板 22 3" xfId="38023"/>
    <cellStyle name="好_B11-B14钢结构(栏杆.楼梯),景观铺贴,总坪管网道路,,植物工程清单模板 23" xfId="38008"/>
    <cellStyle name="好_B11-B14钢结构(栏杆.楼梯),景观铺贴,总坪管网道路,,植物工程清单模板 23 2" xfId="38024"/>
    <cellStyle name="好_B11-B14钢结构(栏杆.楼梯),景观铺贴,总坪管网道路,,植物工程清单模板 23 3" xfId="38025"/>
    <cellStyle name="好_B11-B14钢结构(栏杆.楼梯),景观铺贴,总坪管网道路,,植物工程清单模板 24" xfId="38011"/>
    <cellStyle name="好_B11-B14钢结构(栏杆.楼梯),景观铺贴,总坪管网道路,,植物工程清单模板 24 2" xfId="38026"/>
    <cellStyle name="好_B11-B14钢结构(栏杆.楼梯),景观铺贴,总坪管网道路,,植物工程清单模板 24 3" xfId="38027"/>
    <cellStyle name="好_B11-B14钢结构(栏杆.楼梯),景观铺贴,总坪管网道路,,植物工程清单模板 25" xfId="38028"/>
    <cellStyle name="好_B11-B14钢结构(栏杆.楼梯),景观铺贴,总坪管网道路,,植物工程清单模板 25 2" xfId="38029"/>
    <cellStyle name="好_B11-B14钢结构(栏杆.楼梯),景观铺贴,总坪管网道路,,植物工程清单模板 25 3" xfId="38030"/>
    <cellStyle name="好_B11-B14钢结构(栏杆.楼梯),景观铺贴,总坪管网道路,,植物工程清单模板 26" xfId="38031"/>
    <cellStyle name="好_B11-B14钢结构(栏杆.楼梯),景观铺贴,总坪管网道路,,植物工程清单模板 26 2" xfId="38032"/>
    <cellStyle name="好_B11-B14钢结构(栏杆.楼梯),景观铺贴,总坪管网道路,,植物工程清单模板 26 3" xfId="38033"/>
    <cellStyle name="好_B11-B14钢结构(栏杆.楼梯),景观铺贴,总坪管网道路,,植物工程清单模板 27" xfId="38034"/>
    <cellStyle name="好_B11-B14钢结构(栏杆.楼梯),景观铺贴,总坪管网道路,,植物工程清单模板 27 2" xfId="38035"/>
    <cellStyle name="好_B11-B14钢结构(栏杆.楼梯),景观铺贴,总坪管网道路,,植物工程清单模板 27 3" xfId="38036"/>
    <cellStyle name="好_B11-B14钢结构(栏杆.楼梯),景观铺贴,总坪管网道路,,植物工程清单模板 28" xfId="38037"/>
    <cellStyle name="好_B11-B14钢结构(栏杆.楼梯),景观铺贴,总坪管网道路,,植物工程清单模板 28 2" xfId="38038"/>
    <cellStyle name="好_B11-B14钢结构(栏杆.楼梯),景观铺贴,总坪管网道路,,植物工程清单模板 28 3" xfId="38039"/>
    <cellStyle name="好_B11-B14钢结构(栏杆.楼梯),景观铺贴,总坪管网道路,,植物工程清单模板 29" xfId="38040"/>
    <cellStyle name="好_B11-B14钢结构(栏杆.楼梯),景观铺贴,总坪管网道路,,植物工程清单模板 29 2" xfId="38041"/>
    <cellStyle name="好_B11-B14钢结构(栏杆.楼梯),景观铺贴,总坪管网道路,,植物工程清单模板 29 3" xfId="38042"/>
    <cellStyle name="好_B11-B14钢结构(栏杆.楼梯),景观铺贴,总坪管网道路,,植物工程清单模板 3" xfId="38043"/>
    <cellStyle name="好_B11-B14钢结构(栏杆.楼梯),景观铺贴,总坪管网道路,,植物工程清单模板 3 10" xfId="38044"/>
    <cellStyle name="好_B11-B14钢结构(栏杆.楼梯),景观铺贴,总坪管网道路,,植物工程清单模板 3 11" xfId="38045"/>
    <cellStyle name="好_B11-B14钢结构(栏杆.楼梯),景观铺贴,总坪管网道路,,植物工程清单模板 3 12" xfId="38046"/>
    <cellStyle name="好_B11-B14钢结构(栏杆.楼梯),景观铺贴,总坪管网道路,,植物工程清单模板 3 2" xfId="38047"/>
    <cellStyle name="好_B11-B14钢结构(栏杆.楼梯),景观铺贴,总坪管网道路,,植物工程清单模板 3 3" xfId="38048"/>
    <cellStyle name="好_B11-B14钢结构(栏杆.楼梯),景观铺贴,总坪管网道路,,植物工程清单模板 3 4" xfId="38049"/>
    <cellStyle name="好_B11-B14钢结构(栏杆.楼梯),景观铺贴,总坪管网道路,,植物工程清单模板 3 5" xfId="38050"/>
    <cellStyle name="好_B11-B14钢结构(栏杆.楼梯),景观铺贴,总坪管网道路,,植物工程清单模板 3 6" xfId="38051"/>
    <cellStyle name="好_B11-B14钢结构(栏杆.楼梯),景观铺贴,总坪管网道路,,植物工程清单模板 3 7" xfId="38052"/>
    <cellStyle name="好_B11-B14钢结构(栏杆.楼梯),景观铺贴,总坪管网道路,,植物工程清单模板 3 8" xfId="38053"/>
    <cellStyle name="好_B11-B14钢结构(栏杆.楼梯),景观铺贴,总坪管网道路,,植物工程清单模板 3 9" xfId="38054"/>
    <cellStyle name="好_B11-B14钢结构(栏杆.楼梯),景观铺贴,总坪管网道路,,植物工程清单模板 4" xfId="38055"/>
    <cellStyle name="好_B11-B14钢结构(栏杆.楼梯),景观铺贴,总坪管网道路,,植物工程清单模板 5" xfId="38056"/>
    <cellStyle name="好_B11-B14钢结构(栏杆.楼梯),景观铺贴,总坪管网道路,,植物工程清单模板 6" xfId="38057"/>
    <cellStyle name="好_B11-B14钢结构(栏杆.楼梯),景观铺贴,总坪管网道路,,植物工程清单模板 7" xfId="38058"/>
    <cellStyle name="好_B11-B14钢结构(栏杆.楼梯),景观铺贴,总坪管网道路,,植物工程清单模板 8" xfId="38059"/>
    <cellStyle name="好_B11-B14钢结构(栏杆.楼梯),景观铺贴,总坪管网道路,,植物工程清单模板 9" xfId="38060"/>
    <cellStyle name="好_Book1" xfId="38061"/>
    <cellStyle name="好_MERALCO" xfId="38062"/>
    <cellStyle name="好_报价4" xfId="38063"/>
    <cellStyle name="好_报价4 2" xfId="38064"/>
    <cellStyle name="好_报价4 2 2" xfId="38065"/>
    <cellStyle name="好_报价4 3" xfId="38066"/>
    <cellStyle name="好_报价4 4" xfId="38067"/>
    <cellStyle name="好_报价4 5" xfId="38068"/>
    <cellStyle name="好_报价4 6" xfId="38069"/>
    <cellStyle name="好_报价4 7" xfId="38070"/>
    <cellStyle name="好_报价4 8" xfId="38071"/>
    <cellStyle name="好_报价4 9" xfId="38072"/>
    <cellStyle name="好_锦绣城3号地土建总包标底（II标段）" xfId="38073"/>
    <cellStyle name="好_土建清单 (高层)" xfId="25618"/>
    <cellStyle name="好_土建清单 (高层) 2" xfId="38074"/>
    <cellStyle name="好_土建清单 (高层) 3" xfId="38075"/>
    <cellStyle name="好_外墙保温工程量清单" xfId="38076"/>
    <cellStyle name="好_一期景观安装工程" xfId="38077"/>
    <cellStyle name="好_一期景观安装工程 10" xfId="11492"/>
    <cellStyle name="好_一期景观安装工程 11" xfId="11495"/>
    <cellStyle name="好_一期景观安装工程 12" xfId="3686"/>
    <cellStyle name="好_一期景观安装工程 13" xfId="11498"/>
    <cellStyle name="好_一期景观安装工程 14" xfId="11500"/>
    <cellStyle name="好_一期景观安装工程 15" xfId="11503"/>
    <cellStyle name="好_一期景观安装工程 16" xfId="38078"/>
    <cellStyle name="好_一期景观安装工程 17" xfId="38080"/>
    <cellStyle name="好_一期景观安装工程 18" xfId="38082"/>
    <cellStyle name="好_一期景观安装工程 19" xfId="38084"/>
    <cellStyle name="好_一期景观安装工程 2" xfId="38086"/>
    <cellStyle name="好_一期景观安装工程 2 10" xfId="38087"/>
    <cellStyle name="好_一期景观安装工程 2 2" xfId="38088"/>
    <cellStyle name="好_一期景观安装工程 2 3" xfId="38089"/>
    <cellStyle name="好_一期景观安装工程 2 4" xfId="38090"/>
    <cellStyle name="好_一期景观安装工程 2 5" xfId="33124"/>
    <cellStyle name="好_一期景观安装工程 2 6" xfId="33127"/>
    <cellStyle name="好_一期景观安装工程 2 7" xfId="33130"/>
    <cellStyle name="好_一期景观安装工程 2 8" xfId="31415"/>
    <cellStyle name="好_一期景观安装工程 2 9" xfId="31419"/>
    <cellStyle name="好_一期景观安装工程 20" xfId="11502"/>
    <cellStyle name="好_一期景观安装工程 21" xfId="38079"/>
    <cellStyle name="好_一期景观安装工程 22" xfId="38081"/>
    <cellStyle name="好_一期景观安装工程 23" xfId="38083"/>
    <cellStyle name="好_一期景观安装工程 24" xfId="38085"/>
    <cellStyle name="好_一期景观安装工程 25" xfId="38091"/>
    <cellStyle name="好_一期景观安装工程 26" xfId="38092"/>
    <cellStyle name="好_一期景观安装工程 27" xfId="38093"/>
    <cellStyle name="好_一期景观安装工程 28" xfId="38094"/>
    <cellStyle name="好_一期景观安装工程 29" xfId="38095"/>
    <cellStyle name="好_一期景观安装工程 3" xfId="38096"/>
    <cellStyle name="好_一期景观安装工程 3 10" xfId="38097"/>
    <cellStyle name="好_一期景观安装工程 3 2" xfId="38098"/>
    <cellStyle name="好_一期景观安装工程 3 3" xfId="38099"/>
    <cellStyle name="好_一期景观安装工程 3 4" xfId="38100"/>
    <cellStyle name="好_一期景观安装工程 3 5" xfId="25269"/>
    <cellStyle name="好_一期景观安装工程 3 6" xfId="25272"/>
    <cellStyle name="好_一期景观安装工程 3 7" xfId="33297"/>
    <cellStyle name="好_一期景观安装工程 3 8" xfId="24565"/>
    <cellStyle name="好_一期景观安装工程 3 9" xfId="31431"/>
    <cellStyle name="好_一期景观安装工程 4" xfId="38101"/>
    <cellStyle name="好_一期景观安装工程 5" xfId="38102"/>
    <cellStyle name="好_一期景观安装工程 6" xfId="38103"/>
    <cellStyle name="好_一期景观安装工程 7" xfId="38104"/>
    <cellStyle name="好_一期景观安装工程 8" xfId="38105"/>
    <cellStyle name="好_一期景观安装工程 9" xfId="38106"/>
    <cellStyle name="好_重庆公司战略土建总包工程招标清单20131206澄清后最终（安装）" xfId="23648"/>
    <cellStyle name="好_重庆公司战略土建总包工程招标清单20131206澄清后最终（安装） 2" xfId="38107"/>
    <cellStyle name="好_重庆公司战略土建总包工程招标清单20131206澄清后最终（安装） 3" xfId="38108"/>
    <cellStyle name="好_重庆公司战略土建总包工程招标清单最终版" xfId="38109"/>
    <cellStyle name="好_重庆公司战略土建总包工程招标清单最终版 2" xfId="38110"/>
    <cellStyle name="好_重庆公司战略土建总包工程招标清单最终版 3" xfId="38111"/>
    <cellStyle name="汇总 10" xfId="38112"/>
    <cellStyle name="汇总 10 2" xfId="38113"/>
    <cellStyle name="汇总 10 3" xfId="38114"/>
    <cellStyle name="汇总 10 4" xfId="38115"/>
    <cellStyle name="汇总 10 5" xfId="38116"/>
    <cellStyle name="汇总 10 6" xfId="38117"/>
    <cellStyle name="汇总 10 7" xfId="38118"/>
    <cellStyle name="汇总 10 8" xfId="38119"/>
    <cellStyle name="汇总 11" xfId="38120"/>
    <cellStyle name="汇总 11 2" xfId="3415"/>
    <cellStyle name="汇总 11 3" xfId="3422"/>
    <cellStyle name="汇总 11 4" xfId="21970"/>
    <cellStyle name="汇总 11 5" xfId="38121"/>
    <cellStyle name="汇总 11 6" xfId="38122"/>
    <cellStyle name="汇总 11 7" xfId="38123"/>
    <cellStyle name="汇总 11 8" xfId="38124"/>
    <cellStyle name="汇总 12" xfId="38125"/>
    <cellStyle name="汇总 12 2" xfId="6207"/>
    <cellStyle name="汇总 12 3" xfId="6215"/>
    <cellStyle name="汇总 12 4" xfId="22001"/>
    <cellStyle name="汇总 12 5" xfId="38126"/>
    <cellStyle name="汇总 12 6" xfId="38127"/>
    <cellStyle name="汇总 12 7" xfId="38128"/>
    <cellStyle name="汇总 12 8" xfId="38129"/>
    <cellStyle name="汇总 13" xfId="38130"/>
    <cellStyle name="汇总 13 2" xfId="37411"/>
    <cellStyle name="汇总 13 3" xfId="37414"/>
    <cellStyle name="汇总 13 4" xfId="38131"/>
    <cellStyle name="汇总 13 5" xfId="38132"/>
    <cellStyle name="汇总 13 6" xfId="38133"/>
    <cellStyle name="汇总 13 7" xfId="38134"/>
    <cellStyle name="汇总 13 8" xfId="38135"/>
    <cellStyle name="汇总 14" xfId="38136"/>
    <cellStyle name="汇总 14 2" xfId="38137"/>
    <cellStyle name="汇总 14 3" xfId="38138"/>
    <cellStyle name="汇总 14 4" xfId="38139"/>
    <cellStyle name="汇总 14 5" xfId="38140"/>
    <cellStyle name="汇总 14 6" xfId="38141"/>
    <cellStyle name="汇总 14 7" xfId="38142"/>
    <cellStyle name="汇总 14 8" xfId="38143"/>
    <cellStyle name="汇总 15" xfId="38144"/>
    <cellStyle name="汇总 15 2" xfId="6236"/>
    <cellStyle name="汇总 15 3" xfId="6242"/>
    <cellStyle name="汇总 15 4" xfId="13012"/>
    <cellStyle name="汇总 15 5" xfId="38145"/>
    <cellStyle name="汇总 15 6" xfId="38146"/>
    <cellStyle name="汇总 15 7" xfId="38147"/>
    <cellStyle name="汇总 15 8" xfId="38148"/>
    <cellStyle name="汇总 16" xfId="38149"/>
    <cellStyle name="汇总 16 2" xfId="3448"/>
    <cellStyle name="汇总 16 3" xfId="3453"/>
    <cellStyle name="汇总 16 4" xfId="13032"/>
    <cellStyle name="汇总 16 5" xfId="38150"/>
    <cellStyle name="汇总 16 6" xfId="38151"/>
    <cellStyle name="汇总 16 7" xfId="38152"/>
    <cellStyle name="汇总 16 8" xfId="38153"/>
    <cellStyle name="汇总 2" xfId="38154"/>
    <cellStyle name="汇总 2 2" xfId="38155"/>
    <cellStyle name="汇总 2 2 2" xfId="38156"/>
    <cellStyle name="汇总 2 2 3" xfId="38157"/>
    <cellStyle name="汇总 2 2 4" xfId="38158"/>
    <cellStyle name="汇总 2 2 5" xfId="38159"/>
    <cellStyle name="汇总 2 2 6" xfId="38160"/>
    <cellStyle name="汇总 2 2 7" xfId="38161"/>
    <cellStyle name="汇总 2 2 8" xfId="38162"/>
    <cellStyle name="汇总 2 3" xfId="38163"/>
    <cellStyle name="汇总 2 4" xfId="38164"/>
    <cellStyle name="汇总 2 5" xfId="38165"/>
    <cellStyle name="汇总 2 6" xfId="38166"/>
    <cellStyle name="汇总 2 7" xfId="38167"/>
    <cellStyle name="汇总 2 8" xfId="38168"/>
    <cellStyle name="汇总 2 9" xfId="38169"/>
    <cellStyle name="汇总 3" xfId="38170"/>
    <cellStyle name="汇总 3 2" xfId="38171"/>
    <cellStyle name="汇总 3 3" xfId="4903"/>
    <cellStyle name="汇总 3 4" xfId="38172"/>
    <cellStyle name="汇总 3 5" xfId="38173"/>
    <cellStyle name="汇总 3 6" xfId="38174"/>
    <cellStyle name="汇总 3 7" xfId="38175"/>
    <cellStyle name="汇总 3 8" xfId="38176"/>
    <cellStyle name="汇总 4" xfId="38177"/>
    <cellStyle name="汇总 4 2" xfId="37902"/>
    <cellStyle name="汇总 4 3" xfId="37904"/>
    <cellStyle name="汇总 4 4" xfId="37906"/>
    <cellStyle name="汇总 4 5" xfId="37908"/>
    <cellStyle name="汇总 4 6" xfId="37910"/>
    <cellStyle name="汇总 4 7" xfId="37912"/>
    <cellStyle name="汇总 4 8" xfId="38178"/>
    <cellStyle name="汇总 5" xfId="38179"/>
    <cellStyle name="汇总 5 2" xfId="21554"/>
    <cellStyle name="汇总 5 3" xfId="21562"/>
    <cellStyle name="汇总 5 4" xfId="21570"/>
    <cellStyle name="汇总 5 5" xfId="37915"/>
    <cellStyle name="汇总 5 6" xfId="37917"/>
    <cellStyle name="汇总 5 7" xfId="37919"/>
    <cellStyle name="汇总 5 8" xfId="38180"/>
    <cellStyle name="汇总 6" xfId="38181"/>
    <cellStyle name="汇总 6 2" xfId="23741"/>
    <cellStyle name="汇总 6 3" xfId="23744"/>
    <cellStyle name="汇总 6 4" xfId="23747"/>
    <cellStyle name="汇总 6 5" xfId="38182"/>
    <cellStyle name="汇总 6 6" xfId="38183"/>
    <cellStyle name="汇总 6 7" xfId="38184"/>
    <cellStyle name="汇总 6 8" xfId="38185"/>
    <cellStyle name="汇总 7" xfId="38186"/>
    <cellStyle name="汇总 7 2" xfId="38187"/>
    <cellStyle name="汇总 7 3" xfId="38188"/>
    <cellStyle name="汇总 7 4" xfId="38189"/>
    <cellStyle name="汇总 7 5" xfId="38190"/>
    <cellStyle name="汇总 7 6" xfId="38191"/>
    <cellStyle name="汇总 7 7" xfId="38192"/>
    <cellStyle name="汇总 7 8" xfId="38193"/>
    <cellStyle name="汇总 8" xfId="38194"/>
    <cellStyle name="汇总 8 2" xfId="38195"/>
    <cellStyle name="汇总 8 3" xfId="38196"/>
    <cellStyle name="汇总 8 4" xfId="38197"/>
    <cellStyle name="汇总 8 5" xfId="38198"/>
    <cellStyle name="汇总 8 6" xfId="38199"/>
    <cellStyle name="汇总 8 7" xfId="38200"/>
    <cellStyle name="汇总 8 8" xfId="38201"/>
    <cellStyle name="汇总 9" xfId="38202"/>
    <cellStyle name="汇总 9 2" xfId="38203"/>
    <cellStyle name="汇总 9 3" xfId="38204"/>
    <cellStyle name="汇总 9 4" xfId="38205"/>
    <cellStyle name="汇总 9 5" xfId="38206"/>
    <cellStyle name="汇总 9 6" xfId="38207"/>
    <cellStyle name="汇总 9 7" xfId="38208"/>
    <cellStyle name="汇总 9 8" xfId="38209"/>
    <cellStyle name="货币 2" xfId="38210"/>
    <cellStyle name="货币[0] 2" xfId="34329"/>
    <cellStyle name="货币[0] 2 2" xfId="38211"/>
    <cellStyle name="货币[0] 3" xfId="34331"/>
    <cellStyle name="貨幣 [0]_DDC Panel Order form" xfId="38212"/>
    <cellStyle name="貨幣_DDC Panel Order form" xfId="38213"/>
    <cellStyle name="计算 10" xfId="38214"/>
    <cellStyle name="计算 10 2" xfId="38215"/>
    <cellStyle name="计算 10 3" xfId="38216"/>
    <cellStyle name="计算 10 4" xfId="38217"/>
    <cellStyle name="计算 10 5" xfId="38218"/>
    <cellStyle name="计算 10 6" xfId="38219"/>
    <cellStyle name="计算 10 7" xfId="38220"/>
    <cellStyle name="计算 10 8" xfId="38221"/>
    <cellStyle name="计算 11" xfId="38222"/>
    <cellStyle name="计算 11 2" xfId="38223"/>
    <cellStyle name="计算 11 3" xfId="38224"/>
    <cellStyle name="计算 11 4" xfId="38225"/>
    <cellStyle name="计算 11 5" xfId="38226"/>
    <cellStyle name="计算 11 6" xfId="38227"/>
    <cellStyle name="计算 11 7" xfId="38228"/>
    <cellStyle name="计算 11 8" xfId="38229"/>
    <cellStyle name="计算 12" xfId="38230"/>
    <cellStyle name="计算 12 2" xfId="38231"/>
    <cellStyle name="计算 12 3" xfId="38232"/>
    <cellStyle name="计算 12 4" xfId="38233"/>
    <cellStyle name="计算 12 5" xfId="38234"/>
    <cellStyle name="计算 12 6" xfId="38235"/>
    <cellStyle name="计算 12 7" xfId="38236"/>
    <cellStyle name="计算 12 8" xfId="38237"/>
    <cellStyle name="计算 13" xfId="38238"/>
    <cellStyle name="计算 13 2" xfId="38239"/>
    <cellStyle name="计算 13 3" xfId="38240"/>
    <cellStyle name="计算 13 4" xfId="38241"/>
    <cellStyle name="计算 13 5" xfId="38242"/>
    <cellStyle name="计算 13 6" xfId="38243"/>
    <cellStyle name="计算 13 7" xfId="38244"/>
    <cellStyle name="计算 13 8" xfId="38245"/>
    <cellStyle name="计算 14" xfId="38246"/>
    <cellStyle name="计算 14 2" xfId="38247"/>
    <cellStyle name="计算 14 3" xfId="38248"/>
    <cellStyle name="计算 14 4" xfId="38249"/>
    <cellStyle name="计算 14 5" xfId="38250"/>
    <cellStyle name="计算 14 6" xfId="38251"/>
    <cellStyle name="计算 14 7" xfId="38252"/>
    <cellStyle name="计算 14 8" xfId="38253"/>
    <cellStyle name="计算 15" xfId="38254"/>
    <cellStyle name="计算 15 2" xfId="38255"/>
    <cellStyle name="计算 15 3" xfId="38256"/>
    <cellStyle name="计算 15 4" xfId="38257"/>
    <cellStyle name="计算 15 5" xfId="38258"/>
    <cellStyle name="计算 15 6" xfId="38259"/>
    <cellStyle name="计算 15 7" xfId="38260"/>
    <cellStyle name="计算 15 8" xfId="38261"/>
    <cellStyle name="计算 16" xfId="38262"/>
    <cellStyle name="计算 16 2" xfId="38263"/>
    <cellStyle name="计算 16 3" xfId="38264"/>
    <cellStyle name="计算 16 4" xfId="38265"/>
    <cellStyle name="计算 16 5" xfId="38266"/>
    <cellStyle name="计算 16 6" xfId="38267"/>
    <cellStyle name="计算 16 7" xfId="38268"/>
    <cellStyle name="计算 16 8" xfId="38269"/>
    <cellStyle name="计算 2" xfId="38270"/>
    <cellStyle name="计算 2 2" xfId="38271"/>
    <cellStyle name="计算 2 2 2" xfId="38272"/>
    <cellStyle name="计算 2 2 3" xfId="38273"/>
    <cellStyle name="计算 2 2 4" xfId="38274"/>
    <cellStyle name="计算 2 2 5" xfId="38275"/>
    <cellStyle name="计算 2 2 6" xfId="38276"/>
    <cellStyle name="计算 2 2 7" xfId="38277"/>
    <cellStyle name="计算 2 2 8" xfId="38278"/>
    <cellStyle name="计算 2 3" xfId="38279"/>
    <cellStyle name="计算 2 4" xfId="38280"/>
    <cellStyle name="计算 2 5" xfId="38281"/>
    <cellStyle name="计算 2 6" xfId="38282"/>
    <cellStyle name="计算 2 7" xfId="38283"/>
    <cellStyle name="计算 2 8" xfId="38284"/>
    <cellStyle name="计算 2 9" xfId="38285"/>
    <cellStyle name="计算 3" xfId="38286"/>
    <cellStyle name="计算 3 2" xfId="38287"/>
    <cellStyle name="计算 3 3" xfId="38288"/>
    <cellStyle name="计算 3 4" xfId="38289"/>
    <cellStyle name="计算 3 5" xfId="38290"/>
    <cellStyle name="计算 3 6" xfId="38291"/>
    <cellStyle name="计算 3 7" xfId="38292"/>
    <cellStyle name="计算 3 8" xfId="38293"/>
    <cellStyle name="计算 4" xfId="38294"/>
    <cellStyle name="计算 4 2" xfId="38295"/>
    <cellStyle name="计算 4 3" xfId="38296"/>
    <cellStyle name="计算 4 4" xfId="38297"/>
    <cellStyle name="计算 4 5" xfId="38298"/>
    <cellStyle name="计算 4 6" xfId="38299"/>
    <cellStyle name="计算 4 7" xfId="38300"/>
    <cellStyle name="计算 4 8" xfId="38301"/>
    <cellStyle name="计算 5" xfId="38302"/>
    <cellStyle name="计算 5 2" xfId="38303"/>
    <cellStyle name="计算 5 3" xfId="38304"/>
    <cellStyle name="计算 5 4" xfId="38305"/>
    <cellStyle name="计算 5 5" xfId="38306"/>
    <cellStyle name="计算 5 6" xfId="38307"/>
    <cellStyle name="计算 5 7" xfId="38308"/>
    <cellStyle name="计算 5 8" xfId="38309"/>
    <cellStyle name="计算 6" xfId="38310"/>
    <cellStyle name="计算 6 2" xfId="38311"/>
    <cellStyle name="计算 6 3" xfId="38312"/>
    <cellStyle name="计算 6 4" xfId="38313"/>
    <cellStyle name="计算 6 5" xfId="38314"/>
    <cellStyle name="计算 6 6" xfId="38315"/>
    <cellStyle name="计算 6 7" xfId="38316"/>
    <cellStyle name="计算 6 8" xfId="38317"/>
    <cellStyle name="计算 7" xfId="38318"/>
    <cellStyle name="计算 7 2" xfId="38319"/>
    <cellStyle name="计算 7 3" xfId="38320"/>
    <cellStyle name="计算 7 4" xfId="38321"/>
    <cellStyle name="计算 7 5" xfId="38322"/>
    <cellStyle name="计算 7 6" xfId="38323"/>
    <cellStyle name="计算 7 7" xfId="38324"/>
    <cellStyle name="计算 7 8" xfId="38325"/>
    <cellStyle name="计算 8" xfId="38326"/>
    <cellStyle name="计算 8 2" xfId="38327"/>
    <cellStyle name="计算 8 3" xfId="38328"/>
    <cellStyle name="计算 8 4" xfId="38329"/>
    <cellStyle name="计算 8 5" xfId="38330"/>
    <cellStyle name="计算 8 6" xfId="38331"/>
    <cellStyle name="计算 8 7" xfId="38332"/>
    <cellStyle name="计算 8 8" xfId="38333"/>
    <cellStyle name="计算 9" xfId="38334"/>
    <cellStyle name="计算 9 2" xfId="38335"/>
    <cellStyle name="计算 9 3" xfId="38336"/>
    <cellStyle name="计算 9 4" xfId="38337"/>
    <cellStyle name="计算 9 5" xfId="38338"/>
    <cellStyle name="计算 9 6" xfId="38339"/>
    <cellStyle name="计算 9 7" xfId="38340"/>
    <cellStyle name="计算 9 8" xfId="38341"/>
    <cellStyle name="检查单元格 10" xfId="38342"/>
    <cellStyle name="检查单元格 11" xfId="38343"/>
    <cellStyle name="检查单元格 12" xfId="38344"/>
    <cellStyle name="检查单元格 13" xfId="38345"/>
    <cellStyle name="检查单元格 14" xfId="38346"/>
    <cellStyle name="检查单元格 15" xfId="38347"/>
    <cellStyle name="检查单元格 16" xfId="38348"/>
    <cellStyle name="检查单元格 2" xfId="38349"/>
    <cellStyle name="检查单元格 2 2" xfId="38009"/>
    <cellStyle name="检查单元格 3" xfId="38350"/>
    <cellStyle name="检查单元格 4" xfId="38351"/>
    <cellStyle name="检查单元格 5" xfId="38352"/>
    <cellStyle name="检查单元格 6" xfId="38353"/>
    <cellStyle name="检查单元格 7" xfId="38354"/>
    <cellStyle name="检查单元格 8" xfId="1879"/>
    <cellStyle name="检查单元格 9" xfId="1882"/>
    <cellStyle name="解释性文本 10" xfId="38355"/>
    <cellStyle name="解释性文本 11" xfId="38356"/>
    <cellStyle name="解释性文本 12" xfId="38357"/>
    <cellStyle name="解释性文本 13" xfId="38358"/>
    <cellStyle name="解释性文本 14" xfId="38359"/>
    <cellStyle name="解释性文本 15" xfId="38360"/>
    <cellStyle name="解释性文本 2" xfId="38361"/>
    <cellStyle name="解释性文本 2 2" xfId="38362"/>
    <cellStyle name="解释性文本 3" xfId="38363"/>
    <cellStyle name="解释性文本 4" xfId="38364"/>
    <cellStyle name="解释性文本 5" xfId="38365"/>
    <cellStyle name="解释性文本 6" xfId="38366"/>
    <cellStyle name="解释性文本 7" xfId="38367"/>
    <cellStyle name="解释性文本 8" xfId="38368"/>
    <cellStyle name="解释性文本 9" xfId="38369"/>
    <cellStyle name="借出原因" xfId="38370"/>
    <cellStyle name="借出原因 10" xfId="38371"/>
    <cellStyle name="借出原因 11" xfId="14261"/>
    <cellStyle name="借出原因 12" xfId="14267"/>
    <cellStyle name="借出原因 13" xfId="14273"/>
    <cellStyle name="借出原因 14" xfId="14279"/>
    <cellStyle name="借出原因 15" xfId="14284"/>
    <cellStyle name="借出原因 16" xfId="14289"/>
    <cellStyle name="借出原因 17" xfId="14296"/>
    <cellStyle name="借出原因 18" xfId="38372"/>
    <cellStyle name="借出原因 19" xfId="38374"/>
    <cellStyle name="借出原因 2" xfId="38376"/>
    <cellStyle name="借出原因 2 10" xfId="38377"/>
    <cellStyle name="借出原因 2 2" xfId="38378"/>
    <cellStyle name="借出原因 2 3" xfId="38380"/>
    <cellStyle name="借出原因 2 4" xfId="38382"/>
    <cellStyle name="借出原因 2 5" xfId="38384"/>
    <cellStyle name="借出原因 2 6" xfId="38386"/>
    <cellStyle name="借出原因 2 7" xfId="38387"/>
    <cellStyle name="借出原因 2 8" xfId="38388"/>
    <cellStyle name="借出原因 2 9" xfId="38389"/>
    <cellStyle name="借出原因 20" xfId="14283"/>
    <cellStyle name="借出原因 21" xfId="14288"/>
    <cellStyle name="借出原因 22" xfId="14295"/>
    <cellStyle name="借出原因 23" xfId="38373"/>
    <cellStyle name="借出原因 24" xfId="38375"/>
    <cellStyle name="借出原因 25" xfId="38390"/>
    <cellStyle name="借出原因 26" xfId="38392"/>
    <cellStyle name="借出原因 27" xfId="38394"/>
    <cellStyle name="借出原因 28" xfId="38396"/>
    <cellStyle name="借出原因 29" xfId="38398"/>
    <cellStyle name="借出原因 3" xfId="38400"/>
    <cellStyle name="借出原因 3 10" xfId="38401"/>
    <cellStyle name="借出原因 3 2" xfId="38402"/>
    <cellStyle name="借出原因 3 3" xfId="38404"/>
    <cellStyle name="借出原因 3 4" xfId="38406"/>
    <cellStyle name="借出原因 3 5" xfId="38408"/>
    <cellStyle name="借出原因 3 6" xfId="38409"/>
    <cellStyle name="借出原因 3 7" xfId="38410"/>
    <cellStyle name="借出原因 3 8" xfId="38411"/>
    <cellStyle name="借出原因 3 9" xfId="38412"/>
    <cellStyle name="借出原因 30" xfId="38391"/>
    <cellStyle name="借出原因 31" xfId="38393"/>
    <cellStyle name="借出原因 32" xfId="38395"/>
    <cellStyle name="借出原因 33" xfId="38397"/>
    <cellStyle name="借出原因 34" xfId="38399"/>
    <cellStyle name="借出原因 35" xfId="38413"/>
    <cellStyle name="借出原因 36" xfId="38414"/>
    <cellStyle name="借出原因 37" xfId="38415"/>
    <cellStyle name="借出原因 4" xfId="38416"/>
    <cellStyle name="借出原因 5" xfId="38417"/>
    <cellStyle name="借出原因 6" xfId="38418"/>
    <cellStyle name="借出原因 7" xfId="38419"/>
    <cellStyle name="借出原因 8" xfId="38420"/>
    <cellStyle name="借出原因 9" xfId="38421"/>
    <cellStyle name="警告文本 10" xfId="38422"/>
    <cellStyle name="警告文本 11" xfId="38423"/>
    <cellStyle name="警告文本 12" xfId="38424"/>
    <cellStyle name="警告文本 13" xfId="38425"/>
    <cellStyle name="警告文本 14" xfId="38426"/>
    <cellStyle name="警告文本 15" xfId="38427"/>
    <cellStyle name="警告文本 2" xfId="38428"/>
    <cellStyle name="警告文本 2 2" xfId="38429"/>
    <cellStyle name="警告文本 3" xfId="38430"/>
    <cellStyle name="警告文本 4" xfId="38431"/>
    <cellStyle name="警告文本 5" xfId="38432"/>
    <cellStyle name="警告文本 6" xfId="38433"/>
    <cellStyle name="警告文本 7" xfId="38434"/>
    <cellStyle name="警告文本 8" xfId="38435"/>
    <cellStyle name="警告文本 9" xfId="38436"/>
    <cellStyle name="链接单元格 10" xfId="38437"/>
    <cellStyle name="链接单元格 11" xfId="38438"/>
    <cellStyle name="链接单元格 12" xfId="38439"/>
    <cellStyle name="链接单元格 13" xfId="38440"/>
    <cellStyle name="链接单元格 14" xfId="38441"/>
    <cellStyle name="链接单元格 15" xfId="38442"/>
    <cellStyle name="链接单元格 2" xfId="38443"/>
    <cellStyle name="链接单元格 2 2" xfId="38444"/>
    <cellStyle name="链接单元格 3" xfId="38445"/>
    <cellStyle name="链接单元格 4" xfId="38446"/>
    <cellStyle name="链接单元格 5" xfId="38447"/>
    <cellStyle name="链接单元格 6" xfId="38448"/>
    <cellStyle name="链接单元格 7" xfId="38449"/>
    <cellStyle name="链接单元格 8" xfId="38450"/>
    <cellStyle name="链接单元格 9" xfId="38451"/>
    <cellStyle name="普通_laroux" xfId="38452"/>
    <cellStyle name="普通水电工程工程量清单" xfId="38453"/>
    <cellStyle name="普通水电工程工程量清单 2" xfId="38454"/>
    <cellStyle name="普通水电工程工程量清单 3" xfId="38455"/>
    <cellStyle name="千分位[0]_DDC Panel Order form" xfId="38456"/>
    <cellStyle name="千分位_DDC Panel Order form" xfId="38457"/>
    <cellStyle name="千位[0]_ 方正PC" xfId="38458"/>
    <cellStyle name="千位_ 方正PC" xfId="38459"/>
    <cellStyle name="千位分隔" xfId="19" builtinId="3"/>
    <cellStyle name="千位分隔 2" xfId="38460"/>
    <cellStyle name="千位分隔 2 10" xfId="38461"/>
    <cellStyle name="千位分隔 2 11" xfId="38462"/>
    <cellStyle name="千位分隔 2 12" xfId="38463"/>
    <cellStyle name="千位分隔 2 13" xfId="38464"/>
    <cellStyle name="千位分隔 2 14" xfId="38465"/>
    <cellStyle name="千位分隔 2 15" xfId="38466"/>
    <cellStyle name="千位分隔 2 16" xfId="38468"/>
    <cellStyle name="千位分隔 2 17" xfId="38470"/>
    <cellStyle name="千位分隔 2 18" xfId="38472"/>
    <cellStyle name="千位分隔 2 19" xfId="38474"/>
    <cellStyle name="千位分隔 2 2" xfId="38476"/>
    <cellStyle name="千位分隔 2 2 10" xfId="38477"/>
    <cellStyle name="千位分隔 2 2 2" xfId="38478"/>
    <cellStyle name="千位分隔 2 2 3" xfId="38479"/>
    <cellStyle name="千位分隔 2 2 4" xfId="38480"/>
    <cellStyle name="千位分隔 2 2 5" xfId="38481"/>
    <cellStyle name="千位分隔 2 2 6" xfId="38482"/>
    <cellStyle name="千位分隔 2 2 7" xfId="38483"/>
    <cellStyle name="千位分隔 2 2 8" xfId="38484"/>
    <cellStyle name="千位分隔 2 2 9" xfId="38485"/>
    <cellStyle name="千位分隔 2 20" xfId="38467"/>
    <cellStyle name="千位分隔 2 21" xfId="38469"/>
    <cellStyle name="千位分隔 2 22" xfId="38471"/>
    <cellStyle name="千位分隔 2 23" xfId="38473"/>
    <cellStyle name="千位分隔 2 24" xfId="38475"/>
    <cellStyle name="千位分隔 2 25" xfId="38486"/>
    <cellStyle name="千位分隔 2 26" xfId="38488"/>
    <cellStyle name="千位分隔 2 27" xfId="38490"/>
    <cellStyle name="千位分隔 2 28" xfId="25947"/>
    <cellStyle name="千位分隔 2 29" xfId="27455"/>
    <cellStyle name="千位分隔 2 3" xfId="38492"/>
    <cellStyle name="千位分隔 2 3 10" xfId="38493"/>
    <cellStyle name="千位分隔 2 3 2" xfId="38494"/>
    <cellStyle name="千位分隔 2 3 3" xfId="38495"/>
    <cellStyle name="千位分隔 2 3 4" xfId="38496"/>
    <cellStyle name="千位分隔 2 3 5" xfId="38497"/>
    <cellStyle name="千位分隔 2 3 6" xfId="38498"/>
    <cellStyle name="千位分隔 2 3 7" xfId="38499"/>
    <cellStyle name="千位分隔 2 3 8" xfId="38500"/>
    <cellStyle name="千位分隔 2 3 9" xfId="38501"/>
    <cellStyle name="千位分隔 2 30" xfId="38487"/>
    <cellStyle name="千位分隔 2 31" xfId="38489"/>
    <cellStyle name="千位分隔 2 32" xfId="38491"/>
    <cellStyle name="千位分隔 2 33" xfId="25946"/>
    <cellStyle name="千位分隔 2 34" xfId="27454"/>
    <cellStyle name="千位分隔 2 35" xfId="27465"/>
    <cellStyle name="千位分隔 2 36" xfId="27475"/>
    <cellStyle name="千位分隔 2 37" xfId="27478"/>
    <cellStyle name="千位分隔 2 38" xfId="27481"/>
    <cellStyle name="千位分隔 2 39" xfId="27484"/>
    <cellStyle name="千位分隔 2 4" xfId="38502"/>
    <cellStyle name="千位分隔 2 4 10" xfId="38503"/>
    <cellStyle name="千位分隔 2 4 11" xfId="38504"/>
    <cellStyle name="千位分隔 2 4 12" xfId="38505"/>
    <cellStyle name="千位分隔 2 4 2" xfId="38506"/>
    <cellStyle name="千位分隔 2 4 3" xfId="38507"/>
    <cellStyle name="千位分隔 2 4 4" xfId="38508"/>
    <cellStyle name="千位分隔 2 4 5" xfId="38509"/>
    <cellStyle name="千位分隔 2 4 6" xfId="38510"/>
    <cellStyle name="千位分隔 2 4 7" xfId="38511"/>
    <cellStyle name="千位分隔 2 4 8" xfId="38512"/>
    <cellStyle name="千位分隔 2 4 9" xfId="38513"/>
    <cellStyle name="千位分隔 2 40" xfId="27464"/>
    <cellStyle name="千位分隔 2 41" xfId="27474"/>
    <cellStyle name="千位分隔 2 42" xfId="27477"/>
    <cellStyle name="千位分隔 2 43" xfId="27480"/>
    <cellStyle name="千位分隔 2 44" xfId="27483"/>
    <cellStyle name="千位分隔 2 45" xfId="27487"/>
    <cellStyle name="千位分隔 2 46" xfId="27492"/>
    <cellStyle name="千位分隔 2 47" xfId="38514"/>
    <cellStyle name="千位分隔 2 48" xfId="38516"/>
    <cellStyle name="千位分隔 2 49" xfId="38518"/>
    <cellStyle name="千位分隔 2 5" xfId="38520"/>
    <cellStyle name="千位分隔 2 50" xfId="27486"/>
    <cellStyle name="千位分隔 2 51" xfId="27491"/>
    <cellStyle name="千位分隔 2 52" xfId="38515"/>
    <cellStyle name="千位分隔 2 53" xfId="38517"/>
    <cellStyle name="千位分隔 2 54" xfId="38519"/>
    <cellStyle name="千位分隔 2 55" xfId="38521"/>
    <cellStyle name="千位分隔 2 55 2" xfId="38523"/>
    <cellStyle name="千位分隔 2 55 3" xfId="38525"/>
    <cellStyle name="千位分隔 2 56" xfId="38527"/>
    <cellStyle name="千位分隔 2 56 2" xfId="38529"/>
    <cellStyle name="千位分隔 2 56 3" xfId="38531"/>
    <cellStyle name="千位分隔 2 57" xfId="38533"/>
    <cellStyle name="千位分隔 2 57 2" xfId="38535"/>
    <cellStyle name="千位分隔 2 57 3" xfId="38537"/>
    <cellStyle name="千位分隔 2 58" xfId="38539"/>
    <cellStyle name="千位分隔 2 58 2" xfId="38540"/>
    <cellStyle name="千位分隔 2 58 3" xfId="38541"/>
    <cellStyle name="千位分隔 2 59" xfId="38542"/>
    <cellStyle name="千位分隔 2 59 2" xfId="38543"/>
    <cellStyle name="千位分隔 2 59 3" xfId="38544"/>
    <cellStyle name="千位分隔 2 6" xfId="38545"/>
    <cellStyle name="千位分隔 2 60" xfId="38522"/>
    <cellStyle name="千位分隔 2 60 2" xfId="38524"/>
    <cellStyle name="千位分隔 2 60 3" xfId="38526"/>
    <cellStyle name="千位分隔 2 61" xfId="38528"/>
    <cellStyle name="千位分隔 2 61 2" xfId="38530"/>
    <cellStyle name="千位分隔 2 61 3" xfId="38532"/>
    <cellStyle name="千位分隔 2 62" xfId="38534"/>
    <cellStyle name="千位分隔 2 62 2" xfId="38536"/>
    <cellStyle name="千位分隔 2 62 3" xfId="38538"/>
    <cellStyle name="千位分隔 2 7" xfId="38546"/>
    <cellStyle name="千位分隔 2 8" xfId="38547"/>
    <cellStyle name="千位分隔 2 9" xfId="38548"/>
    <cellStyle name="千位分隔 21" xfId="38549"/>
    <cellStyle name="千位分隔 22" xfId="38550"/>
    <cellStyle name="千位分隔 3" xfId="38551"/>
    <cellStyle name="千位分隔 3 10" xfId="38552"/>
    <cellStyle name="千位分隔 3 11" xfId="38553"/>
    <cellStyle name="千位分隔 3 12" xfId="38554"/>
    <cellStyle name="千位分隔 3 13" xfId="38555"/>
    <cellStyle name="千位分隔 3 14" xfId="38556"/>
    <cellStyle name="千位分隔 3 15" xfId="38557"/>
    <cellStyle name="千位分隔 3 16" xfId="38559"/>
    <cellStyle name="千位分隔 3 17" xfId="38561"/>
    <cellStyle name="千位分隔 3 18" xfId="38563"/>
    <cellStyle name="千位分隔 3 19" xfId="38565"/>
    <cellStyle name="千位分隔 3 2" xfId="38567"/>
    <cellStyle name="千位分隔 3 2 10" xfId="4595"/>
    <cellStyle name="千位分隔 3 2 2" xfId="38568"/>
    <cellStyle name="千位分隔 3 2 3" xfId="38569"/>
    <cellStyle name="千位分隔 3 2 4" xfId="38570"/>
    <cellStyle name="千位分隔 3 2 5" xfId="38571"/>
    <cellStyle name="千位分隔 3 2 6" xfId="38572"/>
    <cellStyle name="千位分隔 3 2 7" xfId="38573"/>
    <cellStyle name="千位分隔 3 2 8" xfId="38574"/>
    <cellStyle name="千位分隔 3 2 9" xfId="38575"/>
    <cellStyle name="千位分隔 3 20" xfId="38558"/>
    <cellStyle name="千位分隔 3 21" xfId="38560"/>
    <cellStyle name="千位分隔 3 22" xfId="38562"/>
    <cellStyle name="千位分隔 3 23" xfId="38564"/>
    <cellStyle name="千位分隔 3 24" xfId="38566"/>
    <cellStyle name="千位分隔 3 25" xfId="38576"/>
    <cellStyle name="千位分隔 3 26" xfId="38577"/>
    <cellStyle name="千位分隔 3 27" xfId="38578"/>
    <cellStyle name="千位分隔 3 28" xfId="26121"/>
    <cellStyle name="千位分隔 3 29" xfId="27694"/>
    <cellStyle name="千位分隔 3 3" xfId="38579"/>
    <cellStyle name="千位分隔 3 3 10" xfId="38580"/>
    <cellStyle name="千位分隔 3 3 2" xfId="38581"/>
    <cellStyle name="千位分隔 3 3 3" xfId="38582"/>
    <cellStyle name="千位分隔 3 3 4" xfId="38583"/>
    <cellStyle name="千位分隔 3 3 5" xfId="38584"/>
    <cellStyle name="千位分隔 3 3 6" xfId="38585"/>
    <cellStyle name="千位分隔 3 3 7" xfId="38586"/>
    <cellStyle name="千位分隔 3 3 8" xfId="38587"/>
    <cellStyle name="千位分隔 3 3 9" xfId="38588"/>
    <cellStyle name="千位分隔 3 4" xfId="38589"/>
    <cellStyle name="千位分隔 3 5" xfId="38590"/>
    <cellStyle name="千位分隔 3 6" xfId="38591"/>
    <cellStyle name="千位分隔 3 7" xfId="38592"/>
    <cellStyle name="千位分隔 3 8" xfId="38593"/>
    <cellStyle name="千位分隔 3 9" xfId="38594"/>
    <cellStyle name="千位分隔 4" xfId="38595"/>
    <cellStyle name="千位分隔[0] 2" xfId="38596"/>
    <cellStyle name="千位分隔[0] 2 10" xfId="38597"/>
    <cellStyle name="千位分隔[0] 2 11" xfId="38598"/>
    <cellStyle name="千位分隔[0] 2 12" xfId="38599"/>
    <cellStyle name="千位分隔[0] 2 13" xfId="38600"/>
    <cellStyle name="千位分隔[0] 2 14" xfId="38601"/>
    <cellStyle name="千位分隔[0] 2 15" xfId="38602"/>
    <cellStyle name="千位分隔[0] 2 16" xfId="38604"/>
    <cellStyle name="千位分隔[0] 2 17" xfId="38606"/>
    <cellStyle name="千位分隔[0] 2 18" xfId="38608"/>
    <cellStyle name="千位分隔[0] 2 19" xfId="38610"/>
    <cellStyle name="千位分隔[0] 2 2" xfId="38612"/>
    <cellStyle name="千位分隔[0] 2 2 10" xfId="38613"/>
    <cellStyle name="千位分隔[0] 2 2 2" xfId="38614"/>
    <cellStyle name="千位分隔[0] 2 2 3" xfId="38615"/>
    <cellStyle name="千位分隔[0] 2 2 4" xfId="38616"/>
    <cellStyle name="千位分隔[0] 2 2 5" xfId="38617"/>
    <cellStyle name="千位分隔[0] 2 2 6" xfId="38618"/>
    <cellStyle name="千位分隔[0] 2 2 7" xfId="38619"/>
    <cellStyle name="千位分隔[0] 2 2 8" xfId="38620"/>
    <cellStyle name="千位分隔[0] 2 2 9" xfId="38621"/>
    <cellStyle name="千位分隔[0] 2 20" xfId="38603"/>
    <cellStyle name="千位分隔[0] 2 21" xfId="38605"/>
    <cellStyle name="千位分隔[0] 2 22" xfId="38607"/>
    <cellStyle name="千位分隔[0] 2 23" xfId="38609"/>
    <cellStyle name="千位分隔[0] 2 24" xfId="38611"/>
    <cellStyle name="千位分隔[0] 2 25" xfId="38622"/>
    <cellStyle name="千位分隔[0] 2 26" xfId="38624"/>
    <cellStyle name="千位分隔[0] 2 27" xfId="38626"/>
    <cellStyle name="千位分隔[0] 2 28" xfId="38628"/>
    <cellStyle name="千位分隔[0] 2 29" xfId="38630"/>
    <cellStyle name="千位分隔[0] 2 3" xfId="38632"/>
    <cellStyle name="千位分隔[0] 2 3 10" xfId="38633"/>
    <cellStyle name="千位分隔[0] 2 3 11" xfId="38634"/>
    <cellStyle name="千位分隔[0] 2 3 12" xfId="38635"/>
    <cellStyle name="千位分隔[0] 2 3 2" xfId="38636"/>
    <cellStyle name="千位分隔[0] 2 3 3" xfId="38637"/>
    <cellStyle name="千位分隔[0] 2 3 4" xfId="38638"/>
    <cellStyle name="千位分隔[0] 2 3 5" xfId="38639"/>
    <cellStyle name="千位分隔[0] 2 3 6" xfId="38640"/>
    <cellStyle name="千位分隔[0] 2 3 7" xfId="38641"/>
    <cellStyle name="千位分隔[0] 2 3 8" xfId="38642"/>
    <cellStyle name="千位分隔[0] 2 3 9" xfId="38643"/>
    <cellStyle name="千位分隔[0] 2 30" xfId="38623"/>
    <cellStyle name="千位分隔[0] 2 31" xfId="38625"/>
    <cellStyle name="千位分隔[0] 2 32" xfId="38627"/>
    <cellStyle name="千位分隔[0] 2 33" xfId="38629"/>
    <cellStyle name="千位分隔[0] 2 34" xfId="38631"/>
    <cellStyle name="千位分隔[0] 2 35" xfId="38644"/>
    <cellStyle name="千位分隔[0] 2 36" xfId="38646"/>
    <cellStyle name="千位分隔[0] 2 37" xfId="38648"/>
    <cellStyle name="千位分隔[0] 2 38" xfId="38650"/>
    <cellStyle name="千位分隔[0] 2 39" xfId="38652"/>
    <cellStyle name="千位分隔[0] 2 4" xfId="38654"/>
    <cellStyle name="千位分隔[0] 2 40" xfId="38645"/>
    <cellStyle name="千位分隔[0] 2 41" xfId="38647"/>
    <cellStyle name="千位分隔[0] 2 42" xfId="38649"/>
    <cellStyle name="千位分隔[0] 2 43" xfId="38651"/>
    <cellStyle name="千位分隔[0] 2 44" xfId="38653"/>
    <cellStyle name="千位分隔[0] 2 45" xfId="38655"/>
    <cellStyle name="千位分隔[0] 2 46" xfId="38657"/>
    <cellStyle name="千位分隔[0] 2 47" xfId="38659"/>
    <cellStyle name="千位分隔[0] 2 48" xfId="38661"/>
    <cellStyle name="千位分隔[0] 2 49" xfId="38663"/>
    <cellStyle name="千位分隔[0] 2 5" xfId="38665"/>
    <cellStyle name="千位分隔[0] 2 50" xfId="38656"/>
    <cellStyle name="千位分隔[0] 2 51" xfId="38658"/>
    <cellStyle name="千位分隔[0] 2 52" xfId="38660"/>
    <cellStyle name="千位分隔[0] 2 53" xfId="38662"/>
    <cellStyle name="千位分隔[0] 2 54" xfId="38664"/>
    <cellStyle name="千位分隔[0] 2 55" xfId="38666"/>
    <cellStyle name="千位分隔[0] 2 55 2" xfId="38668"/>
    <cellStyle name="千位分隔[0] 2 55 3" xfId="38670"/>
    <cellStyle name="千位分隔[0] 2 56" xfId="38672"/>
    <cellStyle name="千位分隔[0] 2 56 2" xfId="38674"/>
    <cellStyle name="千位分隔[0] 2 56 3" xfId="38676"/>
    <cellStyle name="千位分隔[0] 2 57" xfId="38678"/>
    <cellStyle name="千位分隔[0] 2 57 2" xfId="38680"/>
    <cellStyle name="千位分隔[0] 2 57 3" xfId="38682"/>
    <cellStyle name="千位分隔[0] 2 58" xfId="38684"/>
    <cellStyle name="千位分隔[0] 2 58 2" xfId="38685"/>
    <cellStyle name="千位分隔[0] 2 58 3" xfId="38686"/>
    <cellStyle name="千位分隔[0] 2 59" xfId="38687"/>
    <cellStyle name="千位分隔[0] 2 59 2" xfId="38688"/>
    <cellStyle name="千位分隔[0] 2 59 3" xfId="38689"/>
    <cellStyle name="千位分隔[0] 2 6" xfId="38690"/>
    <cellStyle name="千位分隔[0] 2 60" xfId="38667"/>
    <cellStyle name="千位分隔[0] 2 60 2" xfId="38669"/>
    <cellStyle name="千位分隔[0] 2 60 3" xfId="38671"/>
    <cellStyle name="千位分隔[0] 2 61" xfId="38673"/>
    <cellStyle name="千位分隔[0] 2 61 2" xfId="38675"/>
    <cellStyle name="千位分隔[0] 2 61 3" xfId="38677"/>
    <cellStyle name="千位分隔[0] 2 62" xfId="38679"/>
    <cellStyle name="千位分隔[0] 2 62 2" xfId="38681"/>
    <cellStyle name="千位分隔[0] 2 62 3" xfId="38683"/>
    <cellStyle name="千位分隔[0] 2 7" xfId="38691"/>
    <cellStyle name="千位分隔[0] 2 8" xfId="38692"/>
    <cellStyle name="千位分隔[0] 2 9" xfId="38693"/>
    <cellStyle name="千位分隔[0] 3" xfId="38694"/>
    <cellStyle name="千位分隔[0] 3 10" xfId="38695"/>
    <cellStyle name="千位分隔[0] 3 11" xfId="38696"/>
    <cellStyle name="千位分隔[0] 3 12" xfId="38697"/>
    <cellStyle name="千位分隔[0] 3 13" xfId="38698"/>
    <cellStyle name="千位分隔[0] 3 14" xfId="38699"/>
    <cellStyle name="千位分隔[0] 3 15" xfId="38700"/>
    <cellStyle name="千位分隔[0] 3 16" xfId="38702"/>
    <cellStyle name="千位分隔[0] 3 17" xfId="38704"/>
    <cellStyle name="千位分隔[0] 3 18" xfId="38706"/>
    <cellStyle name="千位分隔[0] 3 19" xfId="38708"/>
    <cellStyle name="千位分隔[0] 3 2" xfId="38710"/>
    <cellStyle name="千位分隔[0] 3 2 10" xfId="38711"/>
    <cellStyle name="千位分隔[0] 3 2 2" xfId="38712"/>
    <cellStyle name="千位分隔[0] 3 2 3" xfId="38713"/>
    <cellStyle name="千位分隔[0] 3 2 4" xfId="38714"/>
    <cellStyle name="千位分隔[0] 3 2 5" xfId="38715"/>
    <cellStyle name="千位分隔[0] 3 2 6" xfId="38716"/>
    <cellStyle name="千位分隔[0] 3 2 7" xfId="38717"/>
    <cellStyle name="千位分隔[0] 3 2 8" xfId="38718"/>
    <cellStyle name="千位分隔[0] 3 2 9" xfId="38719"/>
    <cellStyle name="千位分隔[0] 3 20" xfId="38701"/>
    <cellStyle name="千位分隔[0] 3 21" xfId="38703"/>
    <cellStyle name="千位分隔[0] 3 22" xfId="38705"/>
    <cellStyle name="千位分隔[0] 3 23" xfId="38707"/>
    <cellStyle name="千位分隔[0] 3 24" xfId="38709"/>
    <cellStyle name="千位分隔[0] 3 25" xfId="38720"/>
    <cellStyle name="千位分隔[0] 3 26" xfId="38721"/>
    <cellStyle name="千位分隔[0] 3 27" xfId="38722"/>
    <cellStyle name="千位分隔[0] 3 28" xfId="38723"/>
    <cellStyle name="千位分隔[0] 3 29" xfId="38724"/>
    <cellStyle name="千位分隔[0] 3 3" xfId="38725"/>
    <cellStyle name="千位分隔[0] 3 3 10" xfId="38726"/>
    <cellStyle name="千位分隔[0] 3 3 2" xfId="38727"/>
    <cellStyle name="千位分隔[0] 3 3 3" xfId="38728"/>
    <cellStyle name="千位分隔[0] 3 3 4" xfId="38729"/>
    <cellStyle name="千位分隔[0] 3 3 5" xfId="38730"/>
    <cellStyle name="千位分隔[0] 3 3 6" xfId="38731"/>
    <cellStyle name="千位分隔[0] 3 3 7" xfId="38732"/>
    <cellStyle name="千位分隔[0] 3 3 8" xfId="38733"/>
    <cellStyle name="千位分隔[0] 3 3 9" xfId="38734"/>
    <cellStyle name="千位分隔[0] 3 4" xfId="38735"/>
    <cellStyle name="千位分隔[0] 3 5" xfId="38736"/>
    <cellStyle name="千位分隔[0] 3 6" xfId="38737"/>
    <cellStyle name="千位分隔[0] 3 7" xfId="38738"/>
    <cellStyle name="千位分隔[0] 3 8" xfId="38739"/>
    <cellStyle name="千位分隔[0] 3 9" xfId="38740"/>
    <cellStyle name="强调文字颜色 1 10" xfId="38741"/>
    <cellStyle name="强调文字颜色 1 11" xfId="38742"/>
    <cellStyle name="强调文字颜色 1 12" xfId="38743"/>
    <cellStyle name="强调文字颜色 1 13" xfId="38744"/>
    <cellStyle name="强调文字颜色 1 14" xfId="38745"/>
    <cellStyle name="强调文字颜色 1 15" xfId="38746"/>
    <cellStyle name="强调文字颜色 1 16" xfId="38747"/>
    <cellStyle name="强调文字颜色 1 2" xfId="38748"/>
    <cellStyle name="强调文字颜色 1 2 2" xfId="38749"/>
    <cellStyle name="强调文字颜色 1 3" xfId="38750"/>
    <cellStyle name="强调文字颜色 1 4" xfId="38751"/>
    <cellStyle name="强调文字颜色 1 5" xfId="38752"/>
    <cellStyle name="强调文字颜色 1 6" xfId="38753"/>
    <cellStyle name="强调文字颜色 1 7" xfId="38754"/>
    <cellStyle name="强调文字颜色 1 8" xfId="38755"/>
    <cellStyle name="强调文字颜色 1 9" xfId="38756"/>
    <cellStyle name="强调文字颜色 2 10" xfId="38757"/>
    <cellStyle name="强调文字颜色 2 11" xfId="38758"/>
    <cellStyle name="强调文字颜色 2 12" xfId="38759"/>
    <cellStyle name="强调文字颜色 2 13" xfId="38760"/>
    <cellStyle name="强调文字颜色 2 14" xfId="38761"/>
    <cellStyle name="强调文字颜色 2 15" xfId="38762"/>
    <cellStyle name="强调文字颜色 2 16" xfId="38763"/>
    <cellStyle name="强调文字颜色 2 2" xfId="38764"/>
    <cellStyle name="强调文字颜色 2 2 2" xfId="38765"/>
    <cellStyle name="强调文字颜色 2 3" xfId="38766"/>
    <cellStyle name="强调文字颜色 2 4" xfId="38767"/>
    <cellStyle name="强调文字颜色 2 5" xfId="38768"/>
    <cellStyle name="强调文字颜色 2 6" xfId="38769"/>
    <cellStyle name="强调文字颜色 2 7" xfId="38770"/>
    <cellStyle name="强调文字颜色 2 8" xfId="38771"/>
    <cellStyle name="强调文字颜色 2 9" xfId="38772"/>
    <cellStyle name="强调文字颜色 3 10" xfId="38773"/>
    <cellStyle name="强调文字颜色 3 11" xfId="38774"/>
    <cellStyle name="强调文字颜色 3 12" xfId="38775"/>
    <cellStyle name="强调文字颜色 3 13" xfId="38776"/>
    <cellStyle name="强调文字颜色 3 14" xfId="38777"/>
    <cellStyle name="强调文字颜色 3 15" xfId="38778"/>
    <cellStyle name="强调文字颜色 3 16" xfId="38779"/>
    <cellStyle name="强调文字颜色 3 2" xfId="38780"/>
    <cellStyle name="强调文字颜色 3 2 2" xfId="38781"/>
    <cellStyle name="强调文字颜色 3 3" xfId="38782"/>
    <cellStyle name="强调文字颜色 3 4" xfId="38783"/>
    <cellStyle name="强调文字颜色 3 5" xfId="38784"/>
    <cellStyle name="强调文字颜色 3 6" xfId="38785"/>
    <cellStyle name="强调文字颜色 3 7" xfId="38786"/>
    <cellStyle name="强调文字颜色 3 8" xfId="38787"/>
    <cellStyle name="强调文字颜色 3 9" xfId="36652"/>
    <cellStyle name="强调文字颜色 4 10" xfId="38788"/>
    <cellStyle name="强调文字颜色 4 11" xfId="38789"/>
    <cellStyle name="强调文字颜色 4 12" xfId="38790"/>
    <cellStyle name="强调文字颜色 4 13" xfId="38791"/>
    <cellStyle name="强调文字颜色 4 14" xfId="38792"/>
    <cellStyle name="强调文字颜色 4 15" xfId="38793"/>
    <cellStyle name="强调文字颜色 4 16" xfId="38794"/>
    <cellStyle name="强调文字颜色 4 2" xfId="38795"/>
    <cellStyle name="强调文字颜色 4 2 2" xfId="38796"/>
    <cellStyle name="强调文字颜色 4 3" xfId="38797"/>
    <cellStyle name="强调文字颜色 4 4" xfId="38798"/>
    <cellStyle name="强调文字颜色 4 5" xfId="38799"/>
    <cellStyle name="强调文字颜色 4 6" xfId="38800"/>
    <cellStyle name="强调文字颜色 4 7" xfId="38801"/>
    <cellStyle name="强调文字颜色 4 8" xfId="38802"/>
    <cellStyle name="强调文字颜色 4 9" xfId="38803"/>
    <cellStyle name="强调文字颜色 5 10" xfId="38804"/>
    <cellStyle name="强调文字颜色 5 11" xfId="38805"/>
    <cellStyle name="强调文字颜色 5 12" xfId="38806"/>
    <cellStyle name="强调文字颜色 5 13" xfId="38807"/>
    <cellStyle name="强调文字颜色 5 14" xfId="38808"/>
    <cellStyle name="强调文字颜色 5 15" xfId="38809"/>
    <cellStyle name="强调文字颜色 5 16" xfId="38810"/>
    <cellStyle name="强调文字颜色 5 2" xfId="38811"/>
    <cellStyle name="强调文字颜色 5 2 2" xfId="38812"/>
    <cellStyle name="强调文字颜色 5 3" xfId="38813"/>
    <cellStyle name="强调文字颜色 5 4" xfId="38814"/>
    <cellStyle name="强调文字颜色 5 5" xfId="38815"/>
    <cellStyle name="强调文字颜色 5 6" xfId="38816"/>
    <cellStyle name="强调文字颜色 5 7" xfId="38817"/>
    <cellStyle name="强调文字颜色 5 8" xfId="38818"/>
    <cellStyle name="强调文字颜色 5 9" xfId="38819"/>
    <cellStyle name="强调文字颜色 6 10" xfId="38820"/>
    <cellStyle name="强调文字颜色 6 11" xfId="38821"/>
    <cellStyle name="强调文字颜色 6 12" xfId="38822"/>
    <cellStyle name="强调文字颜色 6 13" xfId="38823"/>
    <cellStyle name="强调文字颜色 6 14" xfId="38824"/>
    <cellStyle name="强调文字颜色 6 15" xfId="38825"/>
    <cellStyle name="强调文字颜色 6 16" xfId="38826"/>
    <cellStyle name="强调文字颜色 6 2" xfId="38827"/>
    <cellStyle name="强调文字颜色 6 2 2" xfId="38828"/>
    <cellStyle name="强调文字颜色 6 3" xfId="38829"/>
    <cellStyle name="强调文字颜色 6 4" xfId="38830"/>
    <cellStyle name="强调文字颜色 6 5" xfId="38831"/>
    <cellStyle name="强调文字颜色 6 6" xfId="38832"/>
    <cellStyle name="强调文字颜色 6 7" xfId="38833"/>
    <cellStyle name="强调文字颜色 6 8" xfId="38834"/>
    <cellStyle name="强调文字颜色 6 9" xfId="38835"/>
    <cellStyle name="日期" xfId="38836"/>
    <cellStyle name="日期 10" xfId="38837"/>
    <cellStyle name="日期 10 2" xfId="38838"/>
    <cellStyle name="日期 10 3" xfId="38839"/>
    <cellStyle name="日期 11" xfId="38840"/>
    <cellStyle name="日期 12" xfId="38841"/>
    <cellStyle name="日期 13" xfId="38842"/>
    <cellStyle name="日期 14" xfId="38843"/>
    <cellStyle name="日期 15" xfId="38844"/>
    <cellStyle name="日期 15 2" xfId="38846"/>
    <cellStyle name="日期 15 3" xfId="38847"/>
    <cellStyle name="日期 16" xfId="38848"/>
    <cellStyle name="日期 16 2" xfId="38850"/>
    <cellStyle name="日期 16 3" xfId="38852"/>
    <cellStyle name="日期 17" xfId="38854"/>
    <cellStyle name="日期 18" xfId="38856"/>
    <cellStyle name="日期 19" xfId="38858"/>
    <cellStyle name="日期 2" xfId="23295"/>
    <cellStyle name="日期 2 10" xfId="38860"/>
    <cellStyle name="日期 2 2" xfId="38861"/>
    <cellStyle name="日期 2 3" xfId="38862"/>
    <cellStyle name="日期 2 4" xfId="38863"/>
    <cellStyle name="日期 2 5" xfId="38864"/>
    <cellStyle name="日期 2 6" xfId="38865"/>
    <cellStyle name="日期 2 7" xfId="38866"/>
    <cellStyle name="日期 2 8" xfId="38867"/>
    <cellStyle name="日期 2 9" xfId="38868"/>
    <cellStyle name="日期 20" xfId="38845"/>
    <cellStyle name="日期 21" xfId="38849"/>
    <cellStyle name="日期 21 2" xfId="38851"/>
    <cellStyle name="日期 21 3" xfId="38853"/>
    <cellStyle name="日期 22" xfId="38855"/>
    <cellStyle name="日期 23" xfId="38857"/>
    <cellStyle name="日期 24" xfId="38859"/>
    <cellStyle name="日期 25" xfId="38869"/>
    <cellStyle name="日期 26" xfId="38870"/>
    <cellStyle name="日期 27" xfId="38871"/>
    <cellStyle name="日期 28" xfId="38872"/>
    <cellStyle name="日期 29" xfId="38873"/>
    <cellStyle name="日期 3" xfId="23302"/>
    <cellStyle name="日期 3 10" xfId="38874"/>
    <cellStyle name="日期 3 2" xfId="38875"/>
    <cellStyle name="日期 3 3" xfId="38876"/>
    <cellStyle name="日期 3 4" xfId="38877"/>
    <cellStyle name="日期 3 5" xfId="38878"/>
    <cellStyle name="日期 3 6" xfId="38879"/>
    <cellStyle name="日期 3 7" xfId="38880"/>
    <cellStyle name="日期 3 8" xfId="38881"/>
    <cellStyle name="日期 3 9" xfId="38882"/>
    <cellStyle name="日期 4" xfId="23309"/>
    <cellStyle name="日期 5" xfId="25922"/>
    <cellStyle name="日期 5 2" xfId="38883"/>
    <cellStyle name="日期 5 3" xfId="38884"/>
    <cellStyle name="日期 6" xfId="25927"/>
    <cellStyle name="日期 6 2" xfId="38885"/>
    <cellStyle name="日期 6 3" xfId="38886"/>
    <cellStyle name="日期 7" xfId="38887"/>
    <cellStyle name="日期 7 2" xfId="38888"/>
    <cellStyle name="日期 7 3" xfId="38889"/>
    <cellStyle name="日期 8" xfId="38890"/>
    <cellStyle name="日期 9" xfId="38891"/>
    <cellStyle name="商品名称" xfId="38892"/>
    <cellStyle name="商品名称 10" xfId="38893"/>
    <cellStyle name="商品名称 10 2" xfId="38894"/>
    <cellStyle name="商品名称 10 3" xfId="38895"/>
    <cellStyle name="商品名称 11" xfId="38896"/>
    <cellStyle name="商品名称 12" xfId="38897"/>
    <cellStyle name="商品名称 13" xfId="38898"/>
    <cellStyle name="商品名称 14" xfId="38899"/>
    <cellStyle name="商品名称 15" xfId="38900"/>
    <cellStyle name="商品名称 15 2" xfId="38902"/>
    <cellStyle name="商品名称 15 3" xfId="38903"/>
    <cellStyle name="商品名称 16" xfId="38904"/>
    <cellStyle name="商品名称 16 2" xfId="38906"/>
    <cellStyle name="商品名称 16 3" xfId="38908"/>
    <cellStyle name="商品名称 17" xfId="38910"/>
    <cellStyle name="商品名称 18" xfId="38912"/>
    <cellStyle name="商品名称 19" xfId="38914"/>
    <cellStyle name="商品名称 2" xfId="38916"/>
    <cellStyle name="商品名称 2 10" xfId="14948"/>
    <cellStyle name="商品名称 2 2" xfId="38917"/>
    <cellStyle name="商品名称 2 3" xfId="38918"/>
    <cellStyle name="商品名称 2 4" xfId="38919"/>
    <cellStyle name="商品名称 2 5" xfId="38920"/>
    <cellStyle name="商品名称 2 6" xfId="38921"/>
    <cellStyle name="商品名称 2 7" xfId="38922"/>
    <cellStyle name="商品名称 2 8" xfId="38923"/>
    <cellStyle name="商品名称 2 9" xfId="38924"/>
    <cellStyle name="商品名称 20" xfId="38901"/>
    <cellStyle name="商品名称 21" xfId="38905"/>
    <cellStyle name="商品名称 21 2" xfId="38907"/>
    <cellStyle name="商品名称 21 3" xfId="38909"/>
    <cellStyle name="商品名称 22" xfId="38911"/>
    <cellStyle name="商品名称 23" xfId="38913"/>
    <cellStyle name="商品名称 24" xfId="38915"/>
    <cellStyle name="商品名称 25" xfId="38925"/>
    <cellStyle name="商品名称 26" xfId="38926"/>
    <cellStyle name="商品名称 27" xfId="38927"/>
    <cellStyle name="商品名称 28" xfId="38928"/>
    <cellStyle name="商品名称 29" xfId="38929"/>
    <cellStyle name="商品名称 3" xfId="38930"/>
    <cellStyle name="商品名称 3 10" xfId="38931"/>
    <cellStyle name="商品名称 3 2" xfId="38932"/>
    <cellStyle name="商品名称 3 3" xfId="38933"/>
    <cellStyle name="商品名称 3 4" xfId="38934"/>
    <cellStyle name="商品名称 3 5" xfId="38935"/>
    <cellStyle name="商品名称 3 6" xfId="38936"/>
    <cellStyle name="商品名称 3 7" xfId="38937"/>
    <cellStyle name="商品名称 3 8" xfId="38938"/>
    <cellStyle name="商品名称 3 9" xfId="38939"/>
    <cellStyle name="商品名称 4" xfId="38940"/>
    <cellStyle name="商品名称 5" xfId="38941"/>
    <cellStyle name="商品名称 5 2" xfId="38942"/>
    <cellStyle name="商品名称 5 3" xfId="38943"/>
    <cellStyle name="商品名称 6" xfId="38944"/>
    <cellStyle name="商品名称 6 2" xfId="38945"/>
    <cellStyle name="商品名称 6 3" xfId="38946"/>
    <cellStyle name="商品名称 7" xfId="38947"/>
    <cellStyle name="商品名称 7 2" xfId="38948"/>
    <cellStyle name="商品名称 7 3" xfId="29785"/>
    <cellStyle name="商品名称 8" xfId="38949"/>
    <cellStyle name="商品名称 9" xfId="38950"/>
    <cellStyle name="适中 10" xfId="38951"/>
    <cellStyle name="适中 11" xfId="38952"/>
    <cellStyle name="适中 12" xfId="38953"/>
    <cellStyle name="适中 13" xfId="38954"/>
    <cellStyle name="适中 14" xfId="38955"/>
    <cellStyle name="适中 15" xfId="38956"/>
    <cellStyle name="适中 2" xfId="38957"/>
    <cellStyle name="适中 2 2" xfId="38958"/>
    <cellStyle name="适中 3" xfId="38959"/>
    <cellStyle name="适中 4" xfId="38960"/>
    <cellStyle name="适中 5" xfId="38961"/>
    <cellStyle name="适中 6" xfId="38962"/>
    <cellStyle name="适中 7" xfId="38963"/>
    <cellStyle name="适中 8" xfId="38964"/>
    <cellStyle name="适中 9" xfId="38965"/>
    <cellStyle name="输出 10" xfId="38966"/>
    <cellStyle name="输出 10 2" xfId="38967"/>
    <cellStyle name="输出 10 3" xfId="38968"/>
    <cellStyle name="输出 10 4" xfId="38969"/>
    <cellStyle name="输出 10 5" xfId="38970"/>
    <cellStyle name="输出 10 6" xfId="38971"/>
    <cellStyle name="输出 10 7" xfId="38972"/>
    <cellStyle name="输出 10 8" xfId="38973"/>
    <cellStyle name="输出 11" xfId="38974"/>
    <cellStyle name="输出 11 2" xfId="38975"/>
    <cellStyle name="输出 11 3" xfId="38976"/>
    <cellStyle name="输出 11 4" xfId="38977"/>
    <cellStyle name="输出 11 5" xfId="38978"/>
    <cellStyle name="输出 11 6" xfId="38979"/>
    <cellStyle name="输出 11 7" xfId="38980"/>
    <cellStyle name="输出 11 8" xfId="38981"/>
    <cellStyle name="输出 12" xfId="38982"/>
    <cellStyle name="输出 12 2" xfId="38983"/>
    <cellStyle name="输出 12 3" xfId="38984"/>
    <cellStyle name="输出 12 4" xfId="38985"/>
    <cellStyle name="输出 12 5" xfId="38986"/>
    <cellStyle name="输出 12 6" xfId="38987"/>
    <cellStyle name="输出 12 7" xfId="38988"/>
    <cellStyle name="输出 12 8" xfId="38989"/>
    <cellStyle name="输出 13" xfId="38990"/>
    <cellStyle name="输出 13 2" xfId="38991"/>
    <cellStyle name="输出 13 3" xfId="38992"/>
    <cellStyle name="输出 13 4" xfId="38993"/>
    <cellStyle name="输出 13 5" xfId="38994"/>
    <cellStyle name="输出 13 6" xfId="38995"/>
    <cellStyle name="输出 13 7" xfId="38996"/>
    <cellStyle name="输出 13 8" xfId="38997"/>
    <cellStyle name="输出 14" xfId="38998"/>
    <cellStyle name="输出 14 2" xfId="38999"/>
    <cellStyle name="输出 14 3" xfId="39000"/>
    <cellStyle name="输出 14 4" xfId="39001"/>
    <cellStyle name="输出 14 5" xfId="39002"/>
    <cellStyle name="输出 14 6" xfId="39003"/>
    <cellStyle name="输出 14 7" xfId="39004"/>
    <cellStyle name="输出 14 8" xfId="39005"/>
    <cellStyle name="输出 15" xfId="39006"/>
    <cellStyle name="输出 15 2" xfId="39007"/>
    <cellStyle name="输出 15 3" xfId="39008"/>
    <cellStyle name="输出 15 4" xfId="39009"/>
    <cellStyle name="输出 15 5" xfId="39010"/>
    <cellStyle name="输出 15 6" xfId="39011"/>
    <cellStyle name="输出 15 7" xfId="39012"/>
    <cellStyle name="输出 15 8" xfId="39013"/>
    <cellStyle name="输出 16" xfId="39014"/>
    <cellStyle name="输出 16 2" xfId="39015"/>
    <cellStyle name="输出 16 3" xfId="39016"/>
    <cellStyle name="输出 16 4" xfId="39017"/>
    <cellStyle name="输出 16 5" xfId="39018"/>
    <cellStyle name="输出 16 6" xfId="39019"/>
    <cellStyle name="输出 16 7" xfId="39020"/>
    <cellStyle name="输出 16 8" xfId="39021"/>
    <cellStyle name="输出 2" xfId="39022"/>
    <cellStyle name="输出 2 2" xfId="39023"/>
    <cellStyle name="输出 2 2 2" xfId="39024"/>
    <cellStyle name="输出 2 2 3" xfId="39025"/>
    <cellStyle name="输出 2 2 4" xfId="39026"/>
    <cellStyle name="输出 2 2 5" xfId="39027"/>
    <cellStyle name="输出 2 2 6" xfId="39028"/>
    <cellStyle name="输出 2 2 7" xfId="39029"/>
    <cellStyle name="输出 2 2 8" xfId="39030"/>
    <cellStyle name="输出 2 3" xfId="39031"/>
    <cellStyle name="输出 2 4" xfId="39032"/>
    <cellStyle name="输出 2 5" xfId="39033"/>
    <cellStyle name="输出 2 6" xfId="39034"/>
    <cellStyle name="输出 2 7" xfId="39035"/>
    <cellStyle name="输出 2 8" xfId="39036"/>
    <cellStyle name="输出 2 9" xfId="39037"/>
    <cellStyle name="输出 3" xfId="39038"/>
    <cellStyle name="输出 3 2" xfId="39039"/>
    <cellStyle name="输出 3 3" xfId="39040"/>
    <cellStyle name="输出 3 4" xfId="39041"/>
    <cellStyle name="输出 3 5" xfId="39042"/>
    <cellStyle name="输出 3 6" xfId="39043"/>
    <cellStyle name="输出 3 7" xfId="39044"/>
    <cellStyle name="输出 3 8" xfId="39045"/>
    <cellStyle name="输出 4" xfId="39046"/>
    <cellStyle name="输出 4 2" xfId="39047"/>
    <cellStyle name="输出 4 3" xfId="39048"/>
    <cellStyle name="输出 4 4" xfId="39049"/>
    <cellStyle name="输出 4 5" xfId="39050"/>
    <cellStyle name="输出 4 6" xfId="39051"/>
    <cellStyle name="输出 4 7" xfId="39052"/>
    <cellStyle name="输出 4 8" xfId="39053"/>
    <cellStyle name="输出 5" xfId="39054"/>
    <cellStyle name="输出 5 2" xfId="39055"/>
    <cellStyle name="输出 5 3" xfId="39056"/>
    <cellStyle name="输出 5 4" xfId="39057"/>
    <cellStyle name="输出 5 5" xfId="39058"/>
    <cellStyle name="输出 5 6" xfId="39059"/>
    <cellStyle name="输出 5 7" xfId="39060"/>
    <cellStyle name="输出 5 8" xfId="39061"/>
    <cellStyle name="输出 6" xfId="39062"/>
    <cellStyle name="输出 6 2" xfId="39063"/>
    <cellStyle name="输出 6 3" xfId="39064"/>
    <cellStyle name="输出 6 4" xfId="39065"/>
    <cellStyle name="输出 6 5" xfId="39066"/>
    <cellStyle name="输出 6 6" xfId="39067"/>
    <cellStyle name="输出 6 7" xfId="39068"/>
    <cellStyle name="输出 6 8" xfId="39069"/>
    <cellStyle name="输出 7" xfId="39070"/>
    <cellStyle name="输出 7 2" xfId="39071"/>
    <cellStyle name="输出 7 3" xfId="39072"/>
    <cellStyle name="输出 7 4" xfId="39073"/>
    <cellStyle name="输出 7 5" xfId="39074"/>
    <cellStyle name="输出 7 6" xfId="39075"/>
    <cellStyle name="输出 7 7" xfId="39076"/>
    <cellStyle name="输出 7 8" xfId="39077"/>
    <cellStyle name="输出 8" xfId="39078"/>
    <cellStyle name="输出 8 2" xfId="39079"/>
    <cellStyle name="输出 8 3" xfId="39080"/>
    <cellStyle name="输出 8 4" xfId="39081"/>
    <cellStyle name="输出 8 5" xfId="39082"/>
    <cellStyle name="输出 8 6" xfId="39083"/>
    <cellStyle name="输出 8 7" xfId="39084"/>
    <cellStyle name="输出 8 8" xfId="39085"/>
    <cellStyle name="输出 9" xfId="39086"/>
    <cellStyle name="输出 9 2" xfId="39087"/>
    <cellStyle name="输出 9 3" xfId="39088"/>
    <cellStyle name="输出 9 4" xfId="39089"/>
    <cellStyle name="输出 9 5" xfId="39090"/>
    <cellStyle name="输出 9 6" xfId="39091"/>
    <cellStyle name="输出 9 7" xfId="39092"/>
    <cellStyle name="输出 9 8" xfId="39093"/>
    <cellStyle name="输入 10" xfId="39094"/>
    <cellStyle name="输入 10 2" xfId="39095"/>
    <cellStyle name="输入 10 3" xfId="39096"/>
    <cellStyle name="输入 10 4" xfId="39097"/>
    <cellStyle name="输入 10 5" xfId="39098"/>
    <cellStyle name="输入 10 6" xfId="39099"/>
    <cellStyle name="输入 10 7" xfId="39100"/>
    <cellStyle name="输入 10 8" xfId="39101"/>
    <cellStyle name="输入 11" xfId="39102"/>
    <cellStyle name="输入 11 2" xfId="39103"/>
    <cellStyle name="输入 11 3" xfId="39104"/>
    <cellStyle name="输入 11 4" xfId="39105"/>
    <cellStyle name="输入 11 5" xfId="39106"/>
    <cellStyle name="输入 11 6" xfId="39107"/>
    <cellStyle name="输入 11 7" xfId="39108"/>
    <cellStyle name="输入 11 8" xfId="39109"/>
    <cellStyle name="输入 12" xfId="39110"/>
    <cellStyle name="输入 12 2" xfId="39111"/>
    <cellStyle name="输入 12 3" xfId="39112"/>
    <cellStyle name="输入 12 4" xfId="39113"/>
    <cellStyle name="输入 12 5" xfId="39114"/>
    <cellStyle name="输入 12 6" xfId="39115"/>
    <cellStyle name="输入 12 7" xfId="39116"/>
    <cellStyle name="输入 12 8" xfId="39117"/>
    <cellStyle name="输入 13" xfId="6608"/>
    <cellStyle name="输入 13 2" xfId="39118"/>
    <cellStyle name="输入 13 3" xfId="39119"/>
    <cellStyle name="输入 13 4" xfId="39120"/>
    <cellStyle name="输入 13 5" xfId="39121"/>
    <cellStyle name="输入 13 6" xfId="39122"/>
    <cellStyle name="输入 13 7" xfId="39123"/>
    <cellStyle name="输入 13 8" xfId="39124"/>
    <cellStyle name="输入 14" xfId="6613"/>
    <cellStyle name="输入 14 2" xfId="39125"/>
    <cellStyle name="输入 14 3" xfId="39126"/>
    <cellStyle name="输入 14 4" xfId="39127"/>
    <cellStyle name="输入 14 5" xfId="39128"/>
    <cellStyle name="输入 14 6" xfId="39129"/>
    <cellStyle name="输入 14 7" xfId="39130"/>
    <cellStyle name="输入 14 8" xfId="39131"/>
    <cellStyle name="输入 15" xfId="39132"/>
    <cellStyle name="输入 15 2" xfId="39133"/>
    <cellStyle name="输入 15 3" xfId="39134"/>
    <cellStyle name="输入 15 4" xfId="39135"/>
    <cellStyle name="输入 15 5" xfId="39136"/>
    <cellStyle name="输入 15 6" xfId="39137"/>
    <cellStyle name="输入 15 7" xfId="39138"/>
    <cellStyle name="输入 15 8" xfId="39139"/>
    <cellStyle name="输入 2" xfId="39140"/>
    <cellStyle name="输入 2 2" xfId="39141"/>
    <cellStyle name="输入 2 2 2" xfId="39142"/>
    <cellStyle name="输入 2 2 3" xfId="39143"/>
    <cellStyle name="输入 2 2 4" xfId="39144"/>
    <cellStyle name="输入 2 2 5" xfId="39145"/>
    <cellStyle name="输入 2 2 6" xfId="39146"/>
    <cellStyle name="输入 2 2 7" xfId="39147"/>
    <cellStyle name="输入 2 2 8" xfId="39148"/>
    <cellStyle name="输入 2 3" xfId="39149"/>
    <cellStyle name="输入 2 4" xfId="39150"/>
    <cellStyle name="输入 2 5" xfId="39151"/>
    <cellStyle name="输入 2 6" xfId="38379"/>
    <cellStyle name="输入 2 7" xfId="38381"/>
    <cellStyle name="输入 2 8" xfId="38383"/>
    <cellStyle name="输入 2 9" xfId="38385"/>
    <cellStyle name="输入 3" xfId="39152"/>
    <cellStyle name="输入 3 2" xfId="39153"/>
    <cellStyle name="输入 3 3" xfId="39154"/>
    <cellStyle name="输入 3 4" xfId="39155"/>
    <cellStyle name="输入 3 5" xfId="39156"/>
    <cellStyle name="输入 3 6" xfId="38403"/>
    <cellStyle name="输入 3 7" xfId="38405"/>
    <cellStyle name="输入 3 8" xfId="38407"/>
    <cellStyle name="输入 4" xfId="39157"/>
    <cellStyle name="输入 4 2" xfId="39158"/>
    <cellStyle name="输入 4 3" xfId="39159"/>
    <cellStyle name="输入 4 4" xfId="39160"/>
    <cellStyle name="输入 4 5" xfId="39161"/>
    <cellStyle name="输入 4 6" xfId="39162"/>
    <cellStyle name="输入 4 7" xfId="39163"/>
    <cellStyle name="输入 4 8" xfId="11667"/>
    <cellStyle name="输入 5" xfId="39164"/>
    <cellStyle name="输入 5 2" xfId="39165"/>
    <cellStyle name="输入 5 3" xfId="39166"/>
    <cellStyle name="输入 5 4" xfId="39167"/>
    <cellStyle name="输入 5 5" xfId="39168"/>
    <cellStyle name="输入 5 6" xfId="39169"/>
    <cellStyle name="输入 5 7" xfId="39170"/>
    <cellStyle name="输入 5 8" xfId="39171"/>
    <cellStyle name="输入 6" xfId="39172"/>
    <cellStyle name="输入 6 2" xfId="39173"/>
    <cellStyle name="输入 6 3" xfId="39174"/>
    <cellStyle name="输入 6 4" xfId="39175"/>
    <cellStyle name="输入 6 5" xfId="39176"/>
    <cellStyle name="输入 6 6" xfId="39177"/>
    <cellStyle name="输入 6 7" xfId="39178"/>
    <cellStyle name="输入 6 8" xfId="39179"/>
    <cellStyle name="输入 7" xfId="39180"/>
    <cellStyle name="输入 7 2" xfId="39181"/>
    <cellStyle name="输入 7 3" xfId="39183"/>
    <cellStyle name="输入 7 4" xfId="39185"/>
    <cellStyle name="输入 7 5" xfId="39187"/>
    <cellStyle name="输入 7 6" xfId="39189"/>
    <cellStyle name="输入 7 7" xfId="39191"/>
    <cellStyle name="输入 7 8" xfId="39193"/>
    <cellStyle name="输入 8" xfId="39195"/>
    <cellStyle name="输入 8 2" xfId="39196"/>
    <cellStyle name="输入 8 3" xfId="39197"/>
    <cellStyle name="输入 8 4" xfId="39198"/>
    <cellStyle name="输入 8 5" xfId="39199"/>
    <cellStyle name="输入 8 6" xfId="39200"/>
    <cellStyle name="输入 8 7" xfId="39201"/>
    <cellStyle name="输入 8 8" xfId="39202"/>
    <cellStyle name="输入 9" xfId="39203"/>
    <cellStyle name="输入 9 2" xfId="39204"/>
    <cellStyle name="输入 9 3" xfId="39205"/>
    <cellStyle name="输入 9 4" xfId="39206"/>
    <cellStyle name="输入 9 5" xfId="39207"/>
    <cellStyle name="输入 9 6" xfId="39208"/>
    <cellStyle name="输入 9 7" xfId="39209"/>
    <cellStyle name="输入 9 8" xfId="11732"/>
    <cellStyle name="数量" xfId="39210"/>
    <cellStyle name="数量 10" xfId="39211"/>
    <cellStyle name="数量 10 2" xfId="39212"/>
    <cellStyle name="数量 10 3" xfId="39213"/>
    <cellStyle name="数量 11" xfId="39214"/>
    <cellStyle name="数量 12" xfId="39215"/>
    <cellStyle name="数量 13" xfId="39216"/>
    <cellStyle name="数量 14" xfId="39217"/>
    <cellStyle name="数量 15" xfId="39218"/>
    <cellStyle name="数量 15 2" xfId="39220"/>
    <cellStyle name="数量 15 3" xfId="39221"/>
    <cellStyle name="数量 16" xfId="39222"/>
    <cellStyle name="数量 16 2" xfId="39224"/>
    <cellStyle name="数量 16 3" xfId="39226"/>
    <cellStyle name="数量 17" xfId="39228"/>
    <cellStyle name="数量 18" xfId="39230"/>
    <cellStyle name="数量 19" xfId="39232"/>
    <cellStyle name="数量 2" xfId="39234"/>
    <cellStyle name="数量 2 10" xfId="39235"/>
    <cellStyle name="数量 2 2" xfId="39236"/>
    <cellStyle name="数量 2 3" xfId="39237"/>
    <cellStyle name="数量 2 4" xfId="39238"/>
    <cellStyle name="数量 2 5" xfId="39239"/>
    <cellStyle name="数量 2 6" xfId="39240"/>
    <cellStyle name="数量 2 7" xfId="39241"/>
    <cellStyle name="数量 2 8" xfId="39242"/>
    <cellStyle name="数量 2 9" xfId="39243"/>
    <cellStyle name="数量 20" xfId="39219"/>
    <cellStyle name="数量 21" xfId="39223"/>
    <cellStyle name="数量 21 2" xfId="39225"/>
    <cellStyle name="数量 21 3" xfId="39227"/>
    <cellStyle name="数量 22" xfId="39229"/>
    <cellStyle name="数量 23" xfId="39231"/>
    <cellStyle name="数量 24" xfId="39233"/>
    <cellStyle name="数量 25" xfId="39244"/>
    <cellStyle name="数量 26" xfId="39245"/>
    <cellStyle name="数量 27" xfId="39246"/>
    <cellStyle name="数量 28" xfId="39247"/>
    <cellStyle name="数量 29" xfId="39248"/>
    <cellStyle name="数量 3" xfId="39249"/>
    <cellStyle name="数量 3 10" xfId="39250"/>
    <cellStyle name="数量 3 2" xfId="39251"/>
    <cellStyle name="数量 3 3" xfId="39252"/>
    <cellStyle name="数量 3 4" xfId="39253"/>
    <cellStyle name="数量 3 5" xfId="39254"/>
    <cellStyle name="数量 3 6" xfId="39255"/>
    <cellStyle name="数量 3 7" xfId="39256"/>
    <cellStyle name="数量 3 8" xfId="39257"/>
    <cellStyle name="数量 3 9" xfId="39258"/>
    <cellStyle name="数量 4" xfId="39259"/>
    <cellStyle name="数量 5" xfId="39260"/>
    <cellStyle name="数量 5 2" xfId="39261"/>
    <cellStyle name="数量 5 3" xfId="39262"/>
    <cellStyle name="数量 6" xfId="39263"/>
    <cellStyle name="数量 6 2" xfId="39264"/>
    <cellStyle name="数量 6 3" xfId="39265"/>
    <cellStyle name="数量 7" xfId="39266"/>
    <cellStyle name="数量 7 2" xfId="39267"/>
    <cellStyle name="数量 7 3" xfId="39268"/>
    <cellStyle name="数量 8" xfId="39269"/>
    <cellStyle name="数量 9" xfId="39270"/>
    <cellStyle name="水电工程工程量清单" xfId="39271"/>
    <cellStyle name="水电工程工程量清单 3" xfId="39272"/>
    <cellStyle name="样式 1" xfId="39273"/>
    <cellStyle name="样式 1 10" xfId="39274"/>
    <cellStyle name="样式 1 10 2" xfId="39275"/>
    <cellStyle name="样式 1 10 3" xfId="39276"/>
    <cellStyle name="样式 1 10 4" xfId="39277"/>
    <cellStyle name="样式 1 11" xfId="39278"/>
    <cellStyle name="样式 1 11 2" xfId="39279"/>
    <cellStyle name="样式 1 12" xfId="39280"/>
    <cellStyle name="样式 1 13" xfId="39281"/>
    <cellStyle name="样式 1 14" xfId="39282"/>
    <cellStyle name="样式 1 14 2" xfId="39283"/>
    <cellStyle name="样式 1 14 3" xfId="39284"/>
    <cellStyle name="样式 1 15" xfId="39285"/>
    <cellStyle name="样式 1 16" xfId="39287"/>
    <cellStyle name="样式 1 17" xfId="39289"/>
    <cellStyle name="样式 1 18" xfId="39291"/>
    <cellStyle name="样式 1 19" xfId="39293"/>
    <cellStyle name="样式 1 2" xfId="18757"/>
    <cellStyle name="样式 1 2 10" xfId="39295"/>
    <cellStyle name="样式 1 2 10 2" xfId="39296"/>
    <cellStyle name="样式 1 2 10 3" xfId="37580"/>
    <cellStyle name="样式 1 2 11" xfId="39297"/>
    <cellStyle name="样式 1 2 2" xfId="39298"/>
    <cellStyle name="样式 1 2 2 2" xfId="39299"/>
    <cellStyle name="样式 1 2 2 3" xfId="39300"/>
    <cellStyle name="样式 1 2 3" xfId="39301"/>
    <cellStyle name="样式 1 2 3 2" xfId="39302"/>
    <cellStyle name="样式 1 2 3 3" xfId="39303"/>
    <cellStyle name="样式 1 2 4" xfId="39304"/>
    <cellStyle name="样式 1 2 4 2" xfId="39305"/>
    <cellStyle name="样式 1 2 4 3" xfId="39306"/>
    <cellStyle name="样式 1 2 5" xfId="39307"/>
    <cellStyle name="样式 1 2 5 2" xfId="39308"/>
    <cellStyle name="样式 1 2 5 3" xfId="39309"/>
    <cellStyle name="样式 1 2 6" xfId="39310"/>
    <cellStyle name="样式 1 2 6 2" xfId="30688"/>
    <cellStyle name="样式 1 2 6 3" xfId="39311"/>
    <cellStyle name="样式 1 2 7" xfId="39312"/>
    <cellStyle name="样式 1 2 7 2" xfId="30697"/>
    <cellStyle name="样式 1 2 7 3" xfId="39313"/>
    <cellStyle name="样式 1 2 8" xfId="39314"/>
    <cellStyle name="样式 1 2 8 2" xfId="39315"/>
    <cellStyle name="样式 1 2 8 3" xfId="39316"/>
    <cellStyle name="样式 1 2 9" xfId="39317"/>
    <cellStyle name="样式 1 2 9 2" xfId="39318"/>
    <cellStyle name="样式 1 2 9 3" xfId="39319"/>
    <cellStyle name="样式 1 20" xfId="39286"/>
    <cellStyle name="样式 1 21" xfId="39288"/>
    <cellStyle name="样式 1 22" xfId="39290"/>
    <cellStyle name="样式 1 23" xfId="39292"/>
    <cellStyle name="样式 1 24" xfId="39294"/>
    <cellStyle name="样式 1 3" xfId="18761"/>
    <cellStyle name="样式 1 3 10" xfId="39320"/>
    <cellStyle name="样式 1 3 10 2" xfId="39321"/>
    <cellStyle name="样式 1 3 10 3" xfId="37759"/>
    <cellStyle name="样式 1 3 11" xfId="39322"/>
    <cellStyle name="样式 1 3 2" xfId="39323"/>
    <cellStyle name="样式 1 3 2 2" xfId="39324"/>
    <cellStyle name="样式 1 3 2 3" xfId="39325"/>
    <cellStyle name="样式 1 3 3" xfId="39326"/>
    <cellStyle name="样式 1 3 3 2" xfId="39327"/>
    <cellStyle name="样式 1 3 3 3" xfId="39328"/>
    <cellStyle name="样式 1 3 4" xfId="39329"/>
    <cellStyle name="样式 1 3 4 2" xfId="39330"/>
    <cellStyle name="样式 1 3 4 3" xfId="39331"/>
    <cellStyle name="样式 1 3 5" xfId="39332"/>
    <cellStyle name="样式 1 3 5 2" xfId="39333"/>
    <cellStyle name="样式 1 3 5 3" xfId="39334"/>
    <cellStyle name="样式 1 3 6" xfId="39335"/>
    <cellStyle name="样式 1 3 6 2" xfId="30726"/>
    <cellStyle name="样式 1 3 6 3" xfId="39336"/>
    <cellStyle name="样式 1 3 7" xfId="39337"/>
    <cellStyle name="样式 1 3 7 2" xfId="30741"/>
    <cellStyle name="样式 1 3 7 3" xfId="39338"/>
    <cellStyle name="样式 1 3 8" xfId="39339"/>
    <cellStyle name="样式 1 3 8 2" xfId="39340"/>
    <cellStyle name="样式 1 3 8 3" xfId="39341"/>
    <cellStyle name="样式 1 3 9" xfId="39342"/>
    <cellStyle name="样式 1 3 9 2" xfId="39343"/>
    <cellStyle name="样式 1 3 9 3" xfId="39344"/>
    <cellStyle name="样式 1 4" xfId="39345"/>
    <cellStyle name="样式 1 4 10" xfId="39346"/>
    <cellStyle name="样式 1 4 10 2" xfId="39347"/>
    <cellStyle name="样式 1 4 10 3" xfId="39348"/>
    <cellStyle name="样式 1 4 2" xfId="39349"/>
    <cellStyle name="样式 1 4 2 2" xfId="39350"/>
    <cellStyle name="样式 1 4 2 3" xfId="39351"/>
    <cellStyle name="样式 1 4 3" xfId="39352"/>
    <cellStyle name="样式 1 4 3 2" xfId="39353"/>
    <cellStyle name="样式 1 4 3 3" xfId="39354"/>
    <cellStyle name="样式 1 4 4" xfId="39355"/>
    <cellStyle name="样式 1 4 4 2" xfId="39356"/>
    <cellStyle name="样式 1 4 4 3" xfId="39357"/>
    <cellStyle name="样式 1 4 5" xfId="39358"/>
    <cellStyle name="样式 1 4 5 2" xfId="39359"/>
    <cellStyle name="样式 1 4 5 3" xfId="39360"/>
    <cellStyle name="样式 1 4 6" xfId="39361"/>
    <cellStyle name="样式 1 4 6 2" xfId="2049"/>
    <cellStyle name="样式 1 4 6 3" xfId="39362"/>
    <cellStyle name="样式 1 4 7" xfId="39363"/>
    <cellStyle name="样式 1 4 7 2" xfId="2066"/>
    <cellStyle name="样式 1 4 7 3" xfId="39364"/>
    <cellStyle name="样式 1 4 8" xfId="39365"/>
    <cellStyle name="样式 1 4 8 2" xfId="39366"/>
    <cellStyle name="样式 1 4 8 3" xfId="39367"/>
    <cellStyle name="样式 1 4 9" xfId="39368"/>
    <cellStyle name="样式 1 4 9 2" xfId="39369"/>
    <cellStyle name="样式 1 4 9 3" xfId="39370"/>
    <cellStyle name="样式 1 5" xfId="39371"/>
    <cellStyle name="样式 1 5 2" xfId="39372"/>
    <cellStyle name="样式 1 6" xfId="39373"/>
    <cellStyle name="样式 1 6 2" xfId="39374"/>
    <cellStyle name="样式 1 7" xfId="39375"/>
    <cellStyle name="样式 1 7 2" xfId="39376"/>
    <cellStyle name="样式 1 7 3" xfId="39377"/>
    <cellStyle name="样式 1 7 4" xfId="39378"/>
    <cellStyle name="样式 1 8" xfId="39379"/>
    <cellStyle name="样式 1 8 2" xfId="39380"/>
    <cellStyle name="样式 1 9" xfId="39381"/>
    <cellStyle name="样式 1 9 2" xfId="39382"/>
    <cellStyle name="样式 1 9 3" xfId="39383"/>
    <cellStyle name="样式 1 9 4" xfId="39384"/>
    <cellStyle name="样式 1_Sheet1" xfId="28744"/>
    <cellStyle name="一般_3202013" xfId="39385"/>
    <cellStyle name="昗弨_Pacific Region P&amp;L" xfId="39386"/>
    <cellStyle name="寘嬫愗傝 [0.00]_Region Orders (2)" xfId="39387"/>
    <cellStyle name="寘嬫愗傝_Region Orders (2)" xfId="39388"/>
    <cellStyle name="注释 10" xfId="39389"/>
    <cellStyle name="注释 10 2" xfId="39390"/>
    <cellStyle name="注释 10 3" xfId="39391"/>
    <cellStyle name="注释 10 4" xfId="39392"/>
    <cellStyle name="注释 10 5" xfId="39393"/>
    <cellStyle name="注释 10 6" xfId="39394"/>
    <cellStyle name="注释 10 7" xfId="39395"/>
    <cellStyle name="注释 10 8" xfId="39396"/>
    <cellStyle name="注释 11" xfId="39397"/>
    <cellStyle name="注释 11 2" xfId="39398"/>
    <cellStyle name="注释 11 3" xfId="39399"/>
    <cellStyle name="注释 11 4" xfId="39400"/>
    <cellStyle name="注释 11 5" xfId="39401"/>
    <cellStyle name="注释 11 6" xfId="39402"/>
    <cellStyle name="注释 11 7" xfId="39403"/>
    <cellStyle name="注释 11 8" xfId="39404"/>
    <cellStyle name="注释 12" xfId="39405"/>
    <cellStyle name="注释 12 2" xfId="39406"/>
    <cellStyle name="注释 12 3" xfId="39407"/>
    <cellStyle name="注释 12 4" xfId="39408"/>
    <cellStyle name="注释 12 5" xfId="39409"/>
    <cellStyle name="注释 12 6" xfId="39410"/>
    <cellStyle name="注释 12 7" xfId="39411"/>
    <cellStyle name="注释 12 8" xfId="39412"/>
    <cellStyle name="注释 13" xfId="39413"/>
    <cellStyle name="注释 13 2" xfId="39414"/>
    <cellStyle name="注释 13 3" xfId="39415"/>
    <cellStyle name="注释 13 4" xfId="39416"/>
    <cellStyle name="注释 13 5" xfId="39417"/>
    <cellStyle name="注释 13 6" xfId="39418"/>
    <cellStyle name="注释 13 7" xfId="39419"/>
    <cellStyle name="注释 13 8" xfId="39420"/>
    <cellStyle name="注释 14" xfId="39421"/>
    <cellStyle name="注释 14 2" xfId="39422"/>
    <cellStyle name="注释 14 3" xfId="39423"/>
    <cellStyle name="注释 14 4" xfId="39424"/>
    <cellStyle name="注释 14 5" xfId="39425"/>
    <cellStyle name="注释 14 6" xfId="39426"/>
    <cellStyle name="注释 14 7" xfId="39427"/>
    <cellStyle name="注释 14 8" xfId="39428"/>
    <cellStyle name="注释 15" xfId="39429"/>
    <cellStyle name="注释 15 2" xfId="39430"/>
    <cellStyle name="注释 15 3" xfId="39431"/>
    <cellStyle name="注释 15 4" xfId="39432"/>
    <cellStyle name="注释 15 5" xfId="39433"/>
    <cellStyle name="注释 15 6" xfId="39434"/>
    <cellStyle name="注释 15 7" xfId="39435"/>
    <cellStyle name="注释 15 8" xfId="39436"/>
    <cellStyle name="注释 16" xfId="39437"/>
    <cellStyle name="注释 16 2" xfId="39438"/>
    <cellStyle name="注释 16 3" xfId="39439"/>
    <cellStyle name="注释 16 4" xfId="39440"/>
    <cellStyle name="注释 16 5" xfId="39441"/>
    <cellStyle name="注释 16 6" xfId="39442"/>
    <cellStyle name="注释 16 7" xfId="39443"/>
    <cellStyle name="注释 16 8" xfId="39444"/>
    <cellStyle name="注释 2" xfId="39445"/>
    <cellStyle name="注释 2 2" xfId="39446"/>
    <cellStyle name="注释 2 2 2" xfId="39447"/>
    <cellStyle name="注释 2 2 3" xfId="39448"/>
    <cellStyle name="注释 2 2 4" xfId="39449"/>
    <cellStyle name="注释 2 2 5" xfId="39450"/>
    <cellStyle name="注释 2 2 6" xfId="39451"/>
    <cellStyle name="注释 2 2 7" xfId="3294"/>
    <cellStyle name="注释 2 2 8" xfId="3311"/>
    <cellStyle name="注释 2 3" xfId="39452"/>
    <cellStyle name="注释 2 4" xfId="39453"/>
    <cellStyle name="注释 2 5" xfId="39454"/>
    <cellStyle name="注释 2 6" xfId="39455"/>
    <cellStyle name="注释 2 7" xfId="39456"/>
    <cellStyle name="注释 2 8" xfId="39457"/>
    <cellStyle name="注释 2 9" xfId="39458"/>
    <cellStyle name="注释 3" xfId="39182"/>
    <cellStyle name="注释 3 2" xfId="39459"/>
    <cellStyle name="注释 3 3" xfId="39460"/>
    <cellStyle name="注释 3 4" xfId="39461"/>
    <cellStyle name="注释 3 5" xfId="5427"/>
    <cellStyle name="注释 3 6" xfId="5429"/>
    <cellStyle name="注释 3 7" xfId="39462"/>
    <cellStyle name="注释 3 8" xfId="39463"/>
    <cellStyle name="注释 4" xfId="39184"/>
    <cellStyle name="注释 4 2" xfId="39464"/>
    <cellStyle name="注释 4 3" xfId="39465"/>
    <cellStyle name="注释 4 4" xfId="39466"/>
    <cellStyle name="注释 4 5" xfId="5434"/>
    <cellStyle name="注释 4 6" xfId="5437"/>
    <cellStyle name="注释 4 7" xfId="39467"/>
    <cellStyle name="注释 4 8" xfId="39468"/>
    <cellStyle name="注释 5" xfId="39186"/>
    <cellStyle name="注释 5 2" xfId="39469"/>
    <cellStyle name="注释 5 3" xfId="39470"/>
    <cellStyle name="注释 5 4" xfId="39471"/>
    <cellStyle name="注释 5 5" xfId="39472"/>
    <cellStyle name="注释 5 6" xfId="39473"/>
    <cellStyle name="注释 5 7" xfId="39474"/>
    <cellStyle name="注释 5 8" xfId="39475"/>
    <cellStyle name="注释 6" xfId="39188"/>
    <cellStyle name="注释 6 2" xfId="39476"/>
    <cellStyle name="注释 6 3" xfId="39477"/>
    <cellStyle name="注释 6 4" xfId="39478"/>
    <cellStyle name="注释 6 5" xfId="39479"/>
    <cellStyle name="注释 6 6" xfId="39480"/>
    <cellStyle name="注释 6 7" xfId="39481"/>
    <cellStyle name="注释 6 8" xfId="39482"/>
    <cellStyle name="注释 7" xfId="39190"/>
    <cellStyle name="注释 7 2" xfId="39483"/>
    <cellStyle name="注释 7 3" xfId="39484"/>
    <cellStyle name="注释 7 4" xfId="39485"/>
    <cellStyle name="注释 7 5" xfId="39486"/>
    <cellStyle name="注释 7 6" xfId="39487"/>
    <cellStyle name="注释 7 7" xfId="39488"/>
    <cellStyle name="注释 7 8" xfId="39489"/>
    <cellStyle name="注释 8" xfId="39192"/>
    <cellStyle name="注释 8 2" xfId="39490"/>
    <cellStyle name="注释 8 3" xfId="39491"/>
    <cellStyle name="注释 8 4" xfId="10639"/>
    <cellStyle name="注释 8 5" xfId="10641"/>
    <cellStyle name="注释 8 6" xfId="10643"/>
    <cellStyle name="注释 8 7" xfId="10645"/>
    <cellStyle name="注释 8 8" xfId="10647"/>
    <cellStyle name="注释 9" xfId="39194"/>
    <cellStyle name="注释 9 2" xfId="39492"/>
    <cellStyle name="注释 9 3" xfId="39493"/>
    <cellStyle name="注释 9 4" xfId="10652"/>
    <cellStyle name="注释 9 5" xfId="10655"/>
    <cellStyle name="注释 9 6" xfId="10658"/>
    <cellStyle name="注释 9 7" xfId="10661"/>
    <cellStyle name="注释 9 8" xfId="10664"/>
  </cellStyles>
  <dxfs count="6">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b val="0"/>
        <i val="0"/>
        <color indexed="6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0"/>
  <sheetViews>
    <sheetView showGridLines="0" view="pageBreakPreview" zoomScaleNormal="100" zoomScaleSheetLayoutView="100" workbookViewId="0">
      <selection activeCell="C9" sqref="C9:E9"/>
    </sheetView>
  </sheetViews>
  <sheetFormatPr defaultColWidth="7" defaultRowHeight="13.5"/>
  <cols>
    <col min="1" max="1" width="20" customWidth="1"/>
    <col min="2" max="2" width="11.625" customWidth="1"/>
    <col min="3" max="3" width="4.5" customWidth="1"/>
    <col min="4" max="4" width="37.75" customWidth="1"/>
    <col min="5" max="5" width="51.5" customWidth="1"/>
    <col min="6" max="6" width="4" hidden="1" customWidth="1"/>
    <col min="7" max="7" width="12.625" customWidth="1"/>
  </cols>
  <sheetData>
    <row r="1" spans="1:6" ht="84.75" customHeight="1">
      <c r="A1" s="565" t="s">
        <v>0</v>
      </c>
      <c r="B1" s="565"/>
      <c r="C1" s="565"/>
      <c r="D1" s="565"/>
      <c r="E1" s="565"/>
      <c r="F1" s="36"/>
    </row>
    <row r="2" spans="1:6" ht="16.5">
      <c r="A2" s="55"/>
      <c r="B2" s="55"/>
      <c r="C2" s="55"/>
      <c r="D2" s="55"/>
      <c r="E2" s="55"/>
    </row>
    <row r="3" spans="1:6" ht="22.5">
      <c r="A3" s="56" t="s">
        <v>1</v>
      </c>
      <c r="B3" s="57"/>
      <c r="C3" s="566" t="s">
        <v>2139</v>
      </c>
      <c r="D3" s="567"/>
      <c r="E3" s="567"/>
    </row>
    <row r="4" spans="1:6" ht="22.5">
      <c r="A4" s="57"/>
      <c r="B4" s="57"/>
      <c r="C4" s="58"/>
      <c r="D4" s="58"/>
      <c r="E4" s="58"/>
    </row>
    <row r="5" spans="1:6" ht="22.5">
      <c r="A5" s="59" t="s">
        <v>2</v>
      </c>
      <c r="B5" s="60"/>
      <c r="C5" s="566" t="s">
        <v>2138</v>
      </c>
      <c r="D5" s="567"/>
      <c r="E5" s="567"/>
    </row>
    <row r="6" spans="1:6" ht="22.5">
      <c r="A6" s="57"/>
      <c r="B6" s="57"/>
      <c r="C6" s="61"/>
      <c r="D6" s="61"/>
      <c r="E6" s="61"/>
    </row>
    <row r="7" spans="1:6" ht="16.5">
      <c r="A7" s="55"/>
      <c r="B7" s="55"/>
      <c r="C7" s="55"/>
      <c r="D7" s="55"/>
      <c r="E7" s="55"/>
    </row>
    <row r="8" spans="1:6" ht="22.5">
      <c r="A8" s="56" t="s">
        <v>3</v>
      </c>
      <c r="B8" s="57"/>
      <c r="C8" s="62"/>
      <c r="D8" s="63"/>
      <c r="E8" s="64"/>
    </row>
    <row r="9" spans="1:6" ht="22.5">
      <c r="A9" s="559" t="s">
        <v>4</v>
      </c>
      <c r="B9" s="560"/>
      <c r="C9" s="568">
        <f>投标报价汇总表!K11</f>
        <v>177767677.31245485</v>
      </c>
      <c r="D9" s="569"/>
      <c r="E9" s="569"/>
    </row>
    <row r="10" spans="1:6" ht="22.5">
      <c r="A10" s="57"/>
      <c r="B10" s="57"/>
      <c r="C10" s="65"/>
      <c r="D10" s="65"/>
      <c r="E10" s="65"/>
    </row>
    <row r="11" spans="1:6" ht="22.5">
      <c r="A11" s="559" t="s">
        <v>5</v>
      </c>
      <c r="B11" s="560"/>
      <c r="C11" s="561" t="str">
        <f>SUBSTITUTE(SUBSTITUTE(TEXT(TRUNC(FIXED(C9)),"[&gt;0][dbnum2];[&lt;0]负[dbnum2];;")&amp;TEXT(RIGHT(FIXED(C9),2),"元[dbnum2]0角0分;;"&amp;IF(ABS(C9)&gt;1%,"元整",)),"零角",IF(ABS(C9)&lt;1,,"零")),"零分","")</f>
        <v>壹亿柒仟柒佰柒拾陆万柒仟陆佰柒拾柒元叁角壹分</v>
      </c>
      <c r="D11" s="562"/>
      <c r="E11" s="562"/>
    </row>
    <row r="12" spans="1:6" ht="22.5">
      <c r="A12" s="66"/>
      <c r="B12" s="66"/>
      <c r="C12" s="67"/>
      <c r="D12" s="67"/>
      <c r="E12" s="67"/>
    </row>
    <row r="13" spans="1:6" ht="43.9" customHeight="1">
      <c r="A13" s="555" t="s">
        <v>2127</v>
      </c>
      <c r="B13" s="556"/>
      <c r="C13" s="557"/>
      <c r="D13" s="558"/>
      <c r="E13" s="558"/>
    </row>
    <row r="14" spans="1:6" ht="22.5">
      <c r="A14" s="563"/>
      <c r="B14" s="564"/>
      <c r="C14" s="67"/>
      <c r="D14" s="67"/>
      <c r="E14" s="67"/>
    </row>
    <row r="15" spans="1:6" ht="7.15" customHeight="1">
      <c r="A15" s="68"/>
      <c r="B15" s="68"/>
      <c r="C15" s="68"/>
      <c r="D15" s="68"/>
      <c r="E15" s="68"/>
    </row>
    <row r="16" spans="1:6" ht="16.5">
      <c r="A16" s="68"/>
      <c r="B16" s="68"/>
      <c r="C16" s="68"/>
      <c r="D16" s="68"/>
      <c r="E16" s="68"/>
    </row>
    <row r="17" spans="1:5" ht="54.6" customHeight="1">
      <c r="A17" s="555" t="s">
        <v>2128</v>
      </c>
      <c r="B17" s="556"/>
      <c r="C17" s="557"/>
      <c r="D17" s="558"/>
      <c r="E17" s="558"/>
    </row>
    <row r="18" spans="1:5" ht="16.5">
      <c r="A18" s="68"/>
      <c r="B18" s="68"/>
      <c r="C18" s="68"/>
      <c r="D18" s="68"/>
      <c r="E18" s="68"/>
    </row>
    <row r="19" spans="1:5" ht="22.5">
      <c r="A19" s="555" t="s">
        <v>6</v>
      </c>
      <c r="B19" s="556"/>
      <c r="C19" s="557" t="s">
        <v>2058</v>
      </c>
      <c r="D19" s="558"/>
      <c r="E19" s="558"/>
    </row>
    <row r="20" spans="1:5">
      <c r="A20" s="44"/>
      <c r="B20" s="44"/>
      <c r="C20" s="44"/>
      <c r="D20" s="44"/>
      <c r="E20" s="44"/>
    </row>
  </sheetData>
  <sheetProtection password="C743" sheet="1" objects="1" scenarios="1"/>
  <protectedRanges>
    <protectedRange sqref="C13:E13" name="投标单位"/>
    <protectedRange sqref="C3" name="建设单位"/>
    <protectedRange sqref="C19:E19" name="投标时间"/>
    <protectedRange sqref="C5" name="建设单位_1"/>
  </protectedRanges>
  <mergeCells count="14">
    <mergeCell ref="A1:E1"/>
    <mergeCell ref="C3:E3"/>
    <mergeCell ref="C5:E5"/>
    <mergeCell ref="A9:B9"/>
    <mergeCell ref="C9:E9"/>
    <mergeCell ref="A17:B17"/>
    <mergeCell ref="C17:E17"/>
    <mergeCell ref="A19:B19"/>
    <mergeCell ref="C19:E19"/>
    <mergeCell ref="A11:B11"/>
    <mergeCell ref="C11:E11"/>
    <mergeCell ref="A13:B13"/>
    <mergeCell ref="C13:E13"/>
    <mergeCell ref="A14:B14"/>
  </mergeCells>
  <phoneticPr fontId="112" type="noConversion"/>
  <printOptions horizontalCentered="1"/>
  <pageMargins left="0.19685039370078741" right="0.39370078740157483" top="1.1023622047244095" bottom="0.39370078740157483" header="0"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V331"/>
  <sheetViews>
    <sheetView tabSelected="1" view="pageBreakPreview" zoomScaleNormal="55" zoomScaleSheetLayoutView="100" workbookViewId="0">
      <pane xSplit="6" ySplit="4" topLeftCell="G140" activePane="bottomRight" state="frozen"/>
      <selection pane="topRight"/>
      <selection pane="bottomLeft"/>
      <selection pane="bottomRight" activeCell="L144" sqref="L144:M144"/>
    </sheetView>
  </sheetViews>
  <sheetFormatPr defaultColWidth="10.25" defaultRowHeight="13.5" outlineLevelRow="2" outlineLevelCol="1"/>
  <cols>
    <col min="1" max="1" width="2.875" customWidth="1"/>
    <col min="2" max="2" width="2.25" customWidth="1"/>
    <col min="3" max="3" width="5.25" customWidth="1"/>
    <col min="4" max="4" width="9.75" customWidth="1" outlineLevel="1"/>
    <col min="5" max="5" width="10.25" customWidth="1" outlineLevel="1"/>
    <col min="6" max="6" width="4.25" customWidth="1"/>
    <col min="7" max="7" width="8.375" customWidth="1"/>
    <col min="8" max="9" width="12.25" customWidth="1"/>
    <col min="10" max="10" width="9" customWidth="1"/>
    <col min="11" max="11" width="7.5" customWidth="1"/>
    <col min="12" max="12" width="6.75" customWidth="1"/>
    <col min="13" max="14" width="7.5" customWidth="1"/>
    <col min="15" max="15" width="8.375" customWidth="1"/>
    <col min="16" max="16" width="6.75" customWidth="1"/>
    <col min="17" max="18" width="6" customWidth="1"/>
    <col min="19" max="19" width="7.5" customWidth="1"/>
    <col min="20" max="20" width="9.5" customWidth="1"/>
    <col min="21" max="21" width="10" customWidth="1"/>
    <col min="22" max="22" width="12.125" customWidth="1"/>
    <col min="23" max="24" width="10.25" customWidth="1"/>
    <col min="25" max="25" width="2.875" customWidth="1"/>
    <col min="26" max="28" width="10.25" customWidth="1"/>
  </cols>
  <sheetData>
    <row r="1" spans="1:21" ht="36.6" customHeight="1">
      <c r="A1" s="633" t="s">
        <v>239</v>
      </c>
      <c r="B1" s="633"/>
      <c r="C1" s="634"/>
      <c r="D1" s="634"/>
      <c r="E1" s="633"/>
      <c r="F1" s="633"/>
      <c r="G1" s="633"/>
      <c r="H1" s="633"/>
      <c r="I1" s="633"/>
      <c r="J1" s="633"/>
      <c r="K1" s="633"/>
      <c r="L1" s="633"/>
      <c r="M1" s="633"/>
      <c r="N1" s="633"/>
      <c r="O1" s="633"/>
      <c r="P1" s="633"/>
      <c r="Q1" s="633"/>
      <c r="R1" s="633"/>
      <c r="S1" s="633"/>
      <c r="T1" s="198"/>
      <c r="U1" s="199"/>
    </row>
    <row r="2" spans="1:21">
      <c r="A2" s="632" t="s">
        <v>9</v>
      </c>
      <c r="B2" s="632" t="s">
        <v>131</v>
      </c>
      <c r="C2" s="635" t="s">
        <v>132</v>
      </c>
      <c r="D2" s="635" t="s">
        <v>133</v>
      </c>
      <c r="E2" s="632" t="s">
        <v>134</v>
      </c>
      <c r="F2" s="632" t="s">
        <v>135</v>
      </c>
      <c r="G2" s="636" t="s">
        <v>136</v>
      </c>
      <c r="H2" s="636" t="s">
        <v>137</v>
      </c>
      <c r="I2" s="636" t="s">
        <v>138</v>
      </c>
      <c r="J2" s="639" t="s">
        <v>139</v>
      </c>
      <c r="K2" s="623" t="s">
        <v>140</v>
      </c>
      <c r="L2" s="623" t="s">
        <v>141</v>
      </c>
      <c r="M2" s="623" t="s">
        <v>142</v>
      </c>
      <c r="N2" s="623" t="s">
        <v>143</v>
      </c>
      <c r="O2" s="623"/>
      <c r="P2" s="623"/>
      <c r="Q2" s="623"/>
      <c r="R2" s="623"/>
      <c r="S2" s="623"/>
      <c r="T2" s="200"/>
      <c r="U2" s="632" t="s">
        <v>11</v>
      </c>
    </row>
    <row r="3" spans="1:21" ht="67.5">
      <c r="A3" s="632"/>
      <c r="B3" s="632"/>
      <c r="C3" s="635"/>
      <c r="D3" s="635"/>
      <c r="E3" s="632"/>
      <c r="F3" s="632"/>
      <c r="G3" s="637"/>
      <c r="H3" s="637"/>
      <c r="I3" s="637"/>
      <c r="J3" s="640"/>
      <c r="K3" s="623"/>
      <c r="L3" s="623"/>
      <c r="M3" s="623"/>
      <c r="N3" s="129" t="s">
        <v>144</v>
      </c>
      <c r="O3" s="129" t="s">
        <v>145</v>
      </c>
      <c r="P3" s="129" t="s">
        <v>146</v>
      </c>
      <c r="Q3" s="129" t="s">
        <v>147</v>
      </c>
      <c r="R3" s="201" t="s">
        <v>148</v>
      </c>
      <c r="S3" s="129" t="s">
        <v>149</v>
      </c>
      <c r="T3" s="200" t="s">
        <v>150</v>
      </c>
      <c r="U3" s="632"/>
    </row>
    <row r="4" spans="1:21" ht="22.5">
      <c r="A4" s="632"/>
      <c r="B4" s="632"/>
      <c r="C4" s="635"/>
      <c r="D4" s="635"/>
      <c r="E4" s="632"/>
      <c r="F4" s="632"/>
      <c r="G4" s="638"/>
      <c r="H4" s="638"/>
      <c r="I4" s="638"/>
      <c r="J4" s="641"/>
      <c r="K4" s="202" t="s">
        <v>151</v>
      </c>
      <c r="L4" s="203" t="s">
        <v>152</v>
      </c>
      <c r="M4" s="202" t="s">
        <v>153</v>
      </c>
      <c r="N4" s="204" t="s">
        <v>154</v>
      </c>
      <c r="O4" s="205" t="s">
        <v>155</v>
      </c>
      <c r="P4" s="205" t="s">
        <v>156</v>
      </c>
      <c r="Q4" s="204" t="s">
        <v>157</v>
      </c>
      <c r="R4" s="206" t="s">
        <v>158</v>
      </c>
      <c r="S4" s="207" t="s">
        <v>2084</v>
      </c>
      <c r="T4" s="200" t="s">
        <v>159</v>
      </c>
      <c r="U4" s="208"/>
    </row>
    <row r="5" spans="1:21" ht="21">
      <c r="A5" s="209" t="s">
        <v>45</v>
      </c>
      <c r="B5" s="209">
        <v>1</v>
      </c>
      <c r="C5" s="210" t="s">
        <v>240</v>
      </c>
      <c r="D5" s="211"/>
      <c r="E5" s="211"/>
      <c r="F5" s="209"/>
      <c r="G5" s="212"/>
      <c r="H5" s="212"/>
      <c r="I5" s="212"/>
      <c r="J5" s="213"/>
      <c r="K5" s="214"/>
      <c r="L5" s="215"/>
      <c r="M5" s="214"/>
      <c r="N5" s="216"/>
      <c r="O5" s="216"/>
      <c r="P5" s="216"/>
      <c r="Q5" s="216"/>
      <c r="R5" s="217"/>
      <c r="S5" s="218"/>
      <c r="T5" s="219"/>
      <c r="U5" s="220"/>
    </row>
    <row r="6" spans="1:21" ht="31.5" outlineLevel="1">
      <c r="A6" s="221">
        <v>1</v>
      </c>
      <c r="B6" s="221">
        <v>2</v>
      </c>
      <c r="C6" s="220" t="s">
        <v>241</v>
      </c>
      <c r="D6" s="222" t="s">
        <v>2096</v>
      </c>
      <c r="E6" s="222" t="s">
        <v>242</v>
      </c>
      <c r="F6" s="221" t="s">
        <v>162</v>
      </c>
      <c r="G6" s="223">
        <v>0</v>
      </c>
      <c r="H6" s="223">
        <f>G6*K6</f>
        <v>0</v>
      </c>
      <c r="I6" s="223">
        <f>G6*K6*(1+J6)</f>
        <v>0</v>
      </c>
      <c r="J6" s="197"/>
      <c r="K6" s="224">
        <f>L6+M6</f>
        <v>77.935000000000002</v>
      </c>
      <c r="L6" s="224">
        <f>M6*0.09</f>
        <v>6.4349999999999996</v>
      </c>
      <c r="M6" s="224">
        <f>N6+O6+P6+Q6+S6</f>
        <v>71.5</v>
      </c>
      <c r="N6" s="225">
        <v>25</v>
      </c>
      <c r="O6" s="225">
        <v>40</v>
      </c>
      <c r="P6" s="225"/>
      <c r="Q6" s="225">
        <v>0</v>
      </c>
      <c r="R6" s="226">
        <v>0.1</v>
      </c>
      <c r="S6" s="227">
        <f>SUM(N6:Q6)*R6</f>
        <v>6.5</v>
      </c>
      <c r="T6" s="228"/>
      <c r="U6" s="220"/>
    </row>
    <row r="7" spans="1:21" ht="42" outlineLevel="1">
      <c r="A7" s="221">
        <v>2</v>
      </c>
      <c r="B7" s="221">
        <v>2</v>
      </c>
      <c r="C7" s="229" t="s">
        <v>243</v>
      </c>
      <c r="D7" s="230" t="s">
        <v>244</v>
      </c>
      <c r="E7" s="230" t="s">
        <v>242</v>
      </c>
      <c r="F7" s="221" t="s">
        <v>162</v>
      </c>
      <c r="G7" s="223">
        <v>0</v>
      </c>
      <c r="H7" s="223">
        <f t="shared" ref="H7:H8" si="0">G7*K7</f>
        <v>0</v>
      </c>
      <c r="I7" s="223">
        <f>G7*K7*(1+J7)</f>
        <v>0</v>
      </c>
      <c r="J7" s="197"/>
      <c r="K7" s="224">
        <f>L7+M7</f>
        <v>29.975000000000001</v>
      </c>
      <c r="L7" s="224">
        <f>M7*0.09</f>
        <v>2.4750000000000001</v>
      </c>
      <c r="M7" s="224">
        <f>N7+O7+P7+Q7+S7</f>
        <v>27.5</v>
      </c>
      <c r="N7" s="225">
        <v>25</v>
      </c>
      <c r="O7" s="225">
        <v>0</v>
      </c>
      <c r="P7" s="225">
        <v>0</v>
      </c>
      <c r="Q7" s="225">
        <v>0</v>
      </c>
      <c r="R7" s="226">
        <v>0.1</v>
      </c>
      <c r="S7" s="227">
        <f>SUM(N7:Q7)*R7</f>
        <v>2.5</v>
      </c>
      <c r="T7" s="228"/>
      <c r="U7" s="220"/>
    </row>
    <row r="8" spans="1:21" ht="42" outlineLevel="1">
      <c r="A8" s="221">
        <v>3</v>
      </c>
      <c r="B8" s="221">
        <v>2</v>
      </c>
      <c r="C8" s="229" t="s">
        <v>245</v>
      </c>
      <c r="D8" s="230" t="s">
        <v>246</v>
      </c>
      <c r="E8" s="230" t="s">
        <v>247</v>
      </c>
      <c r="F8" s="221" t="s">
        <v>162</v>
      </c>
      <c r="G8" s="223">
        <v>0</v>
      </c>
      <c r="H8" s="223">
        <f t="shared" si="0"/>
        <v>0</v>
      </c>
      <c r="I8" s="223">
        <f>G8*K8*(1+J8)</f>
        <v>0</v>
      </c>
      <c r="J8" s="197"/>
      <c r="K8" s="224">
        <f>L8+M8</f>
        <v>65.944999999999993</v>
      </c>
      <c r="L8" s="224">
        <f>M8*0.09</f>
        <v>5.4449999999999994</v>
      </c>
      <c r="M8" s="224">
        <f>N8+O8+P8+Q8+S8</f>
        <v>60.5</v>
      </c>
      <c r="N8" s="225">
        <v>25</v>
      </c>
      <c r="O8" s="225">
        <v>30</v>
      </c>
      <c r="P8" s="225">
        <v>0</v>
      </c>
      <c r="Q8" s="225">
        <v>0</v>
      </c>
      <c r="R8" s="226">
        <v>0.1</v>
      </c>
      <c r="S8" s="227">
        <f>SUM(N8:Q8)*R8</f>
        <v>5.5</v>
      </c>
      <c r="T8" s="228"/>
      <c r="U8" s="231"/>
    </row>
    <row r="9" spans="1:21">
      <c r="A9" s="221"/>
      <c r="B9" s="221"/>
      <c r="C9" s="210" t="s">
        <v>248</v>
      </c>
      <c r="D9" s="222"/>
      <c r="E9" s="222"/>
      <c r="F9" s="221"/>
      <c r="G9" s="223">
        <v>0</v>
      </c>
      <c r="H9" s="212">
        <f>SUM(H6:H8)</f>
        <v>0</v>
      </c>
      <c r="I9" s="212">
        <f>SUM(I6:I8)</f>
        <v>0</v>
      </c>
      <c r="J9" s="226"/>
      <c r="K9" s="224">
        <f>L9+M9</f>
        <v>0</v>
      </c>
      <c r="L9" s="224">
        <f>M9*0.09</f>
        <v>0</v>
      </c>
      <c r="M9" s="224">
        <f>N9+O9+P9+Q9+S9</f>
        <v>0</v>
      </c>
      <c r="N9" s="225"/>
      <c r="O9" s="225"/>
      <c r="P9" s="225"/>
      <c r="Q9" s="225"/>
      <c r="R9" s="226">
        <v>0.1</v>
      </c>
      <c r="S9" s="227">
        <f>SUM(N9:Q9)*R9</f>
        <v>0</v>
      </c>
      <c r="T9" s="228"/>
      <c r="U9" s="220"/>
    </row>
    <row r="10" spans="1:21" ht="21">
      <c r="A10" s="209" t="s">
        <v>59</v>
      </c>
      <c r="B10" s="209">
        <v>1</v>
      </c>
      <c r="C10" s="210" t="s">
        <v>249</v>
      </c>
      <c r="D10" s="232"/>
      <c r="E10" s="232"/>
      <c r="F10" s="221"/>
      <c r="G10" s="223">
        <v>0</v>
      </c>
      <c r="H10" s="223"/>
      <c r="I10" s="223"/>
      <c r="J10" s="226"/>
      <c r="K10" s="224">
        <f>L10+M10</f>
        <v>0</v>
      </c>
      <c r="L10" s="224">
        <f>M10*0.09</f>
        <v>0</v>
      </c>
      <c r="M10" s="224">
        <f>N10+O10+P10+Q10+S10</f>
        <v>0</v>
      </c>
      <c r="N10" s="225"/>
      <c r="O10" s="225"/>
      <c r="P10" s="225"/>
      <c r="Q10" s="225"/>
      <c r="R10" s="226">
        <v>0.1</v>
      </c>
      <c r="S10" s="227">
        <f>SUM(N10:Q10)*R10</f>
        <v>0</v>
      </c>
      <c r="T10" s="228"/>
      <c r="U10" s="220"/>
    </row>
    <row r="11" spans="1:21" ht="31.5" outlineLevel="1">
      <c r="A11" s="233">
        <v>1</v>
      </c>
      <c r="B11" s="233"/>
      <c r="C11" s="234" t="s">
        <v>250</v>
      </c>
      <c r="D11" s="235" t="s">
        <v>251</v>
      </c>
      <c r="E11" s="236" t="s">
        <v>252</v>
      </c>
      <c r="F11" s="237" t="s">
        <v>162</v>
      </c>
      <c r="G11" s="223">
        <v>875.79584965901995</v>
      </c>
      <c r="H11" s="223">
        <f>G11*K11</f>
        <v>461656.62602668686</v>
      </c>
      <c r="I11" s="223">
        <f>G11*K11*(1+J11)</f>
        <v>461656.62602668686</v>
      </c>
      <c r="J11" s="325"/>
      <c r="K11" s="224">
        <f t="shared" ref="K11" si="1">L11+M11</f>
        <v>527.12812718446548</v>
      </c>
      <c r="L11" s="224">
        <f t="shared" ref="L11" si="2">M11*0.09</f>
        <v>43.524340776698985</v>
      </c>
      <c r="M11" s="224">
        <f t="shared" ref="M11" si="3">N11+O11+P11+Q11+S11</f>
        <v>483.60378640776651</v>
      </c>
      <c r="N11" s="225">
        <v>25</v>
      </c>
      <c r="O11" s="225">
        <f>调差材料基价表!E12*1.02</f>
        <v>406.01941747572772</v>
      </c>
      <c r="P11" s="225"/>
      <c r="Q11" s="225">
        <f>(N11+O11)*2%</f>
        <v>8.6203883495145543</v>
      </c>
      <c r="R11" s="226">
        <v>0.1</v>
      </c>
      <c r="S11" s="227">
        <f t="shared" ref="S11" si="4">SUM(N11:Q11)*R11</f>
        <v>43.963980582524229</v>
      </c>
      <c r="T11" s="238" t="s">
        <v>253</v>
      </c>
      <c r="U11" s="220" t="s">
        <v>254</v>
      </c>
    </row>
    <row r="12" spans="1:21" ht="31.5" outlineLevel="1">
      <c r="A12" s="233">
        <v>2</v>
      </c>
      <c r="B12" s="233"/>
      <c r="C12" s="234" t="s">
        <v>250</v>
      </c>
      <c r="D12" s="235" t="s">
        <v>255</v>
      </c>
      <c r="E12" s="236" t="s">
        <v>252</v>
      </c>
      <c r="F12" s="237" t="s">
        <v>162</v>
      </c>
      <c r="G12" s="223">
        <v>0</v>
      </c>
      <c r="H12" s="223">
        <f>G12*K12</f>
        <v>0</v>
      </c>
      <c r="I12" s="223">
        <f>G12*K12*(1+J12)</f>
        <v>0</v>
      </c>
      <c r="J12" s="325"/>
      <c r="K12" s="224">
        <f t="shared" ref="K12:K31" si="5">L12+M12</f>
        <v>539.23919126213571</v>
      </c>
      <c r="L12" s="224">
        <f t="shared" ref="L12:L31" si="6">M12*0.09</f>
        <v>44.524336893203866</v>
      </c>
      <c r="M12" s="224">
        <f t="shared" ref="M12:M31" si="7">N12+O12+P12+Q12+S12</f>
        <v>494.71485436893187</v>
      </c>
      <c r="N12" s="225">
        <v>25</v>
      </c>
      <c r="O12" s="225">
        <f>调差材料基价表!E13*1.02</f>
        <v>415.92233009708724</v>
      </c>
      <c r="P12" s="225"/>
      <c r="Q12" s="225">
        <f>(N12+O12)*2%</f>
        <v>8.8184466019417442</v>
      </c>
      <c r="R12" s="226">
        <v>0.1</v>
      </c>
      <c r="S12" s="227">
        <f t="shared" ref="S12:S31" si="8">SUM(N12:Q12)*R12</f>
        <v>44.974077669902897</v>
      </c>
      <c r="T12" s="238" t="s">
        <v>253</v>
      </c>
      <c r="U12" s="220" t="s">
        <v>254</v>
      </c>
    </row>
    <row r="13" spans="1:21" ht="31.5" outlineLevel="1">
      <c r="A13" s="233">
        <v>3</v>
      </c>
      <c r="B13" s="233"/>
      <c r="C13" s="234" t="s">
        <v>250</v>
      </c>
      <c r="D13" s="235" t="s">
        <v>256</v>
      </c>
      <c r="E13" s="236" t="s">
        <v>252</v>
      </c>
      <c r="F13" s="237" t="s">
        <v>162</v>
      </c>
      <c r="G13" s="223">
        <v>2403.2250826394402</v>
      </c>
      <c r="H13" s="223">
        <f t="shared" ref="H13:H17" si="9">G13*K13</f>
        <v>1325018.7629522821</v>
      </c>
      <c r="I13" s="223">
        <f t="shared" ref="I13:I17" si="10">G13*K13*(1+J13)</f>
        <v>1325018.7629522821</v>
      </c>
      <c r="J13" s="325"/>
      <c r="K13" s="224">
        <f t="shared" si="5"/>
        <v>551.35025533980615</v>
      </c>
      <c r="L13" s="224">
        <f t="shared" si="6"/>
        <v>45.524333009708762</v>
      </c>
      <c r="M13" s="224">
        <f t="shared" si="7"/>
        <v>505.82592233009734</v>
      </c>
      <c r="N13" s="225">
        <v>25</v>
      </c>
      <c r="O13" s="225">
        <f>调差材料基价表!E14*1.02</f>
        <v>425.82524271844682</v>
      </c>
      <c r="P13" s="225"/>
      <c r="Q13" s="225">
        <f t="shared" ref="Q13:Q17" si="11">(N13+O13)*2%</f>
        <v>9.0165048543689359</v>
      </c>
      <c r="R13" s="226">
        <v>0.1</v>
      </c>
      <c r="S13" s="227">
        <f t="shared" si="8"/>
        <v>45.984174757281579</v>
      </c>
      <c r="T13" s="238" t="s">
        <v>253</v>
      </c>
      <c r="U13" s="220" t="s">
        <v>254</v>
      </c>
    </row>
    <row r="14" spans="1:21" ht="31.5" outlineLevel="1">
      <c r="A14" s="233">
        <v>4</v>
      </c>
      <c r="B14" s="233"/>
      <c r="C14" s="234" t="s">
        <v>250</v>
      </c>
      <c r="D14" s="235" t="s">
        <v>257</v>
      </c>
      <c r="E14" s="236" t="s">
        <v>252</v>
      </c>
      <c r="F14" s="237" t="s">
        <v>162</v>
      </c>
      <c r="G14" s="223">
        <v>0</v>
      </c>
      <c r="H14" s="223">
        <f t="shared" si="9"/>
        <v>0</v>
      </c>
      <c r="I14" s="223">
        <f t="shared" si="10"/>
        <v>0</v>
      </c>
      <c r="J14" s="325"/>
      <c r="K14" s="224">
        <f t="shared" si="5"/>
        <v>569.51685145631029</v>
      </c>
      <c r="L14" s="224">
        <f t="shared" si="6"/>
        <v>47.024327184465989</v>
      </c>
      <c r="M14" s="224">
        <f t="shared" si="7"/>
        <v>522.49252427184433</v>
      </c>
      <c r="N14" s="225">
        <v>25</v>
      </c>
      <c r="O14" s="225">
        <f>调差材料基价表!E15*1.02</f>
        <v>440.67961165048513</v>
      </c>
      <c r="P14" s="225"/>
      <c r="Q14" s="225">
        <f t="shared" si="11"/>
        <v>9.3135922330097021</v>
      </c>
      <c r="R14" s="226">
        <v>0.1</v>
      </c>
      <c r="S14" s="227">
        <f t="shared" si="8"/>
        <v>47.499320388349489</v>
      </c>
      <c r="T14" s="238" t="s">
        <v>253</v>
      </c>
      <c r="U14" s="220" t="s">
        <v>254</v>
      </c>
    </row>
    <row r="15" spans="1:21" ht="31.5" outlineLevel="1">
      <c r="A15" s="233">
        <v>5</v>
      </c>
      <c r="B15" s="233"/>
      <c r="C15" s="234" t="s">
        <v>250</v>
      </c>
      <c r="D15" s="235" t="s">
        <v>258</v>
      </c>
      <c r="E15" s="236" t="s">
        <v>252</v>
      </c>
      <c r="F15" s="237" t="s">
        <v>162</v>
      </c>
      <c r="G15" s="223">
        <v>0</v>
      </c>
      <c r="H15" s="223">
        <f t="shared" si="9"/>
        <v>0</v>
      </c>
      <c r="I15" s="223">
        <f t="shared" si="10"/>
        <v>0</v>
      </c>
      <c r="J15" s="325"/>
      <c r="K15" s="224">
        <f t="shared" si="5"/>
        <v>593.73897961165096</v>
      </c>
      <c r="L15" s="224">
        <f t="shared" si="6"/>
        <v>49.024319417475766</v>
      </c>
      <c r="M15" s="224">
        <f t="shared" si="7"/>
        <v>544.71466019417517</v>
      </c>
      <c r="N15" s="225">
        <v>25</v>
      </c>
      <c r="O15" s="225">
        <f>调差材料基价表!E16*1.02</f>
        <v>460.48543689320422</v>
      </c>
      <c r="P15" s="225"/>
      <c r="Q15" s="225">
        <f t="shared" si="11"/>
        <v>9.7097087378640854</v>
      </c>
      <c r="R15" s="226">
        <v>0.1</v>
      </c>
      <c r="S15" s="227">
        <f t="shared" si="8"/>
        <v>49.519514563106839</v>
      </c>
      <c r="T15" s="238" t="s">
        <v>253</v>
      </c>
      <c r="U15" s="220" t="s">
        <v>254</v>
      </c>
    </row>
    <row r="16" spans="1:21" ht="31.5" outlineLevel="1">
      <c r="A16" s="233">
        <v>6</v>
      </c>
      <c r="B16" s="233"/>
      <c r="C16" s="234" t="s">
        <v>250</v>
      </c>
      <c r="D16" s="235" t="s">
        <v>259</v>
      </c>
      <c r="E16" s="236" t="s">
        <v>252</v>
      </c>
      <c r="F16" s="237" t="s">
        <v>162</v>
      </c>
      <c r="G16" s="223">
        <v>1699</v>
      </c>
      <c r="H16" s="223">
        <f t="shared" si="9"/>
        <v>1060204.2710300975</v>
      </c>
      <c r="I16" s="223">
        <f t="shared" si="10"/>
        <v>1060204.2710300975</v>
      </c>
      <c r="J16" s="325"/>
      <c r="K16" s="224">
        <f t="shared" si="5"/>
        <v>624.01663980582543</v>
      </c>
      <c r="L16" s="224">
        <f t="shared" si="6"/>
        <v>51.524309708737881</v>
      </c>
      <c r="M16" s="224">
        <f t="shared" si="7"/>
        <v>572.49233009708757</v>
      </c>
      <c r="N16" s="225">
        <v>25</v>
      </c>
      <c r="O16" s="225">
        <f>调差材料基价表!E17*1.02</f>
        <v>485.24271844660211</v>
      </c>
      <c r="P16" s="225"/>
      <c r="Q16" s="225">
        <f t="shared" si="11"/>
        <v>10.204854368932043</v>
      </c>
      <c r="R16" s="226">
        <v>0.1</v>
      </c>
      <c r="S16" s="227">
        <f t="shared" si="8"/>
        <v>52.044757281553416</v>
      </c>
      <c r="T16" s="238" t="s">
        <v>253</v>
      </c>
      <c r="U16" s="220" t="s">
        <v>254</v>
      </c>
    </row>
    <row r="17" spans="1:21" ht="31.5" outlineLevel="1">
      <c r="A17" s="233">
        <v>7</v>
      </c>
      <c r="B17" s="233"/>
      <c r="C17" s="234" t="s">
        <v>250</v>
      </c>
      <c r="D17" s="235" t="s">
        <v>260</v>
      </c>
      <c r="E17" s="236" t="s">
        <v>252</v>
      </c>
      <c r="F17" s="237" t="s">
        <v>162</v>
      </c>
      <c r="G17" s="223">
        <v>0</v>
      </c>
      <c r="H17" s="223">
        <f t="shared" si="9"/>
        <v>0</v>
      </c>
      <c r="I17" s="223">
        <f t="shared" si="10"/>
        <v>0</v>
      </c>
      <c r="J17" s="325"/>
      <c r="K17" s="224">
        <f t="shared" si="5"/>
        <v>654.29430000000013</v>
      </c>
      <c r="L17" s="224">
        <f t="shared" si="6"/>
        <v>54.024300000000004</v>
      </c>
      <c r="M17" s="224">
        <f t="shared" si="7"/>
        <v>600.2700000000001</v>
      </c>
      <c r="N17" s="225">
        <v>25</v>
      </c>
      <c r="O17" s="225">
        <f>调差材料基价表!E18*1.02</f>
        <v>510</v>
      </c>
      <c r="P17" s="225"/>
      <c r="Q17" s="225">
        <f t="shared" si="11"/>
        <v>10.700000000000001</v>
      </c>
      <c r="R17" s="226">
        <v>0.1</v>
      </c>
      <c r="S17" s="227">
        <f t="shared" si="8"/>
        <v>54.570000000000007</v>
      </c>
      <c r="T17" s="238" t="s">
        <v>253</v>
      </c>
      <c r="U17" s="220" t="s">
        <v>254</v>
      </c>
    </row>
    <row r="18" spans="1:21">
      <c r="A18" s="221"/>
      <c r="B18" s="221"/>
      <c r="C18" s="239" t="s">
        <v>248</v>
      </c>
      <c r="D18" s="240"/>
      <c r="E18" s="241"/>
      <c r="F18" s="242"/>
      <c r="G18" s="223">
        <v>0</v>
      </c>
      <c r="H18" s="243">
        <f>SUM(H11:H17)</f>
        <v>2846879.6600090666</v>
      </c>
      <c r="I18" s="243">
        <f>SUM(I11:I17)</f>
        <v>2846879.6600090666</v>
      </c>
      <c r="J18" s="244"/>
      <c r="K18" s="224">
        <f t="shared" si="5"/>
        <v>0</v>
      </c>
      <c r="L18" s="224">
        <f t="shared" si="6"/>
        <v>0</v>
      </c>
      <c r="M18" s="224">
        <f t="shared" si="7"/>
        <v>0</v>
      </c>
      <c r="N18" s="225"/>
      <c r="O18" s="225"/>
      <c r="P18" s="225"/>
      <c r="Q18" s="225"/>
      <c r="R18" s="226">
        <v>0.1</v>
      </c>
      <c r="S18" s="227">
        <f t="shared" si="8"/>
        <v>0</v>
      </c>
      <c r="T18" s="228"/>
      <c r="U18" s="220"/>
    </row>
    <row r="19" spans="1:21" ht="21">
      <c r="A19" s="209" t="s">
        <v>61</v>
      </c>
      <c r="B19" s="209">
        <v>1</v>
      </c>
      <c r="C19" s="210" t="s">
        <v>261</v>
      </c>
      <c r="D19" s="222"/>
      <c r="E19" s="222"/>
      <c r="F19" s="221"/>
      <c r="G19" s="223">
        <v>0</v>
      </c>
      <c r="H19" s="223"/>
      <c r="I19" s="223"/>
      <c r="J19" s="226"/>
      <c r="K19" s="224">
        <f t="shared" si="5"/>
        <v>0</v>
      </c>
      <c r="L19" s="224">
        <f t="shared" si="6"/>
        <v>0</v>
      </c>
      <c r="M19" s="224">
        <f t="shared" si="7"/>
        <v>0</v>
      </c>
      <c r="N19" s="225"/>
      <c r="O19" s="225"/>
      <c r="P19" s="225"/>
      <c r="Q19" s="225"/>
      <c r="R19" s="226">
        <v>0.1</v>
      </c>
      <c r="S19" s="227">
        <f t="shared" si="8"/>
        <v>0</v>
      </c>
      <c r="T19" s="245"/>
      <c r="U19" s="246"/>
    </row>
    <row r="20" spans="1:21" ht="63" outlineLevel="1">
      <c r="A20" s="221">
        <v>1</v>
      </c>
      <c r="B20" s="221">
        <v>2</v>
      </c>
      <c r="C20" s="220" t="s">
        <v>262</v>
      </c>
      <c r="D20" s="247" t="s">
        <v>263</v>
      </c>
      <c r="E20" s="222" t="s">
        <v>264</v>
      </c>
      <c r="F20" s="221" t="s">
        <v>265</v>
      </c>
      <c r="G20" s="223">
        <v>0</v>
      </c>
      <c r="H20" s="223">
        <f t="shared" ref="H20:H31" si="12">G20*K20</f>
        <v>0</v>
      </c>
      <c r="I20" s="223">
        <f t="shared" ref="I20:I31" si="13">G20*K20*(1+J20)</f>
        <v>0</v>
      </c>
      <c r="J20" s="197"/>
      <c r="K20" s="224">
        <f t="shared" si="5"/>
        <v>0</v>
      </c>
      <c r="L20" s="224">
        <f t="shared" si="6"/>
        <v>0</v>
      </c>
      <c r="M20" s="224">
        <f t="shared" si="7"/>
        <v>0</v>
      </c>
      <c r="N20" s="225"/>
      <c r="O20" s="225"/>
      <c r="P20" s="225"/>
      <c r="Q20" s="225"/>
      <c r="R20" s="226">
        <v>0.1</v>
      </c>
      <c r="S20" s="227">
        <f t="shared" si="8"/>
        <v>0</v>
      </c>
      <c r="T20" s="228"/>
      <c r="U20" s="248"/>
    </row>
    <row r="21" spans="1:21" ht="63" outlineLevel="2">
      <c r="A21" s="221"/>
      <c r="B21" s="221">
        <v>3</v>
      </c>
      <c r="C21" s="220" t="s">
        <v>266</v>
      </c>
      <c r="D21" s="222" t="s">
        <v>267</v>
      </c>
      <c r="E21" s="222"/>
      <c r="F21" s="221" t="s">
        <v>265</v>
      </c>
      <c r="G21" s="223">
        <v>0</v>
      </c>
      <c r="H21" s="223">
        <f t="shared" si="12"/>
        <v>0</v>
      </c>
      <c r="I21" s="223">
        <f t="shared" si="13"/>
        <v>0</v>
      </c>
      <c r="J21" s="197"/>
      <c r="K21" s="224">
        <f t="shared" si="5"/>
        <v>42.919543689320385</v>
      </c>
      <c r="L21" s="224">
        <f t="shared" si="6"/>
        <v>3.5438155339805819</v>
      </c>
      <c r="M21" s="224">
        <f t="shared" si="7"/>
        <v>39.3757281553398</v>
      </c>
      <c r="N21" s="225">
        <v>14</v>
      </c>
      <c r="O21" s="225">
        <f>0.051*调差材料基价表!E13</f>
        <v>20.796116504854361</v>
      </c>
      <c r="P21" s="225"/>
      <c r="Q21" s="225">
        <v>1</v>
      </c>
      <c r="R21" s="226">
        <v>0.1</v>
      </c>
      <c r="S21" s="227">
        <f t="shared" si="8"/>
        <v>3.5796116504854361</v>
      </c>
      <c r="T21" s="238" t="s">
        <v>268</v>
      </c>
      <c r="U21" s="248"/>
    </row>
    <row r="22" spans="1:21" ht="52.5" outlineLevel="2">
      <c r="A22" s="221"/>
      <c r="B22" s="221">
        <v>3</v>
      </c>
      <c r="C22" s="220" t="s">
        <v>269</v>
      </c>
      <c r="D22" s="222" t="s">
        <v>270</v>
      </c>
      <c r="E22" s="222"/>
      <c r="F22" s="221" t="s">
        <v>265</v>
      </c>
      <c r="G22" s="223">
        <v>0</v>
      </c>
      <c r="H22" s="223">
        <f t="shared" si="12"/>
        <v>0</v>
      </c>
      <c r="I22" s="223">
        <f t="shared" si="13"/>
        <v>0</v>
      </c>
      <c r="J22" s="197"/>
      <c r="K22" s="224">
        <f t="shared" si="5"/>
        <v>0</v>
      </c>
      <c r="L22" s="224">
        <f t="shared" si="6"/>
        <v>0</v>
      </c>
      <c r="M22" s="224">
        <f t="shared" si="7"/>
        <v>0</v>
      </c>
      <c r="N22" s="249"/>
      <c r="O22" s="249"/>
      <c r="P22" s="249"/>
      <c r="Q22" s="249"/>
      <c r="R22" s="226">
        <v>0.1</v>
      </c>
      <c r="S22" s="227">
        <f t="shared" si="8"/>
        <v>0</v>
      </c>
      <c r="T22" s="228"/>
      <c r="U22" s="248"/>
    </row>
    <row r="23" spans="1:21" ht="63" outlineLevel="1">
      <c r="A23" s="221">
        <v>2</v>
      </c>
      <c r="B23" s="221">
        <v>2</v>
      </c>
      <c r="C23" s="220" t="s">
        <v>271</v>
      </c>
      <c r="D23" s="247" t="s">
        <v>263</v>
      </c>
      <c r="E23" s="222" t="s">
        <v>264</v>
      </c>
      <c r="F23" s="221" t="s">
        <v>265</v>
      </c>
      <c r="G23" s="223">
        <v>0</v>
      </c>
      <c r="H23" s="223">
        <f t="shared" si="12"/>
        <v>0</v>
      </c>
      <c r="I23" s="223">
        <f t="shared" si="13"/>
        <v>0</v>
      </c>
      <c r="J23" s="197"/>
      <c r="K23" s="224">
        <f t="shared" si="5"/>
        <v>0</v>
      </c>
      <c r="L23" s="224">
        <f t="shared" si="6"/>
        <v>0</v>
      </c>
      <c r="M23" s="224">
        <f t="shared" si="7"/>
        <v>0</v>
      </c>
      <c r="N23" s="225"/>
      <c r="O23" s="225"/>
      <c r="P23" s="225"/>
      <c r="Q23" s="225"/>
      <c r="R23" s="226">
        <v>0.1</v>
      </c>
      <c r="S23" s="227">
        <f t="shared" si="8"/>
        <v>0</v>
      </c>
      <c r="T23" s="238"/>
      <c r="U23" s="248"/>
    </row>
    <row r="24" spans="1:21" ht="52.5" outlineLevel="2">
      <c r="A24" s="221"/>
      <c r="B24" s="221"/>
      <c r="C24" s="220" t="s">
        <v>266</v>
      </c>
      <c r="D24" s="247" t="s">
        <v>272</v>
      </c>
      <c r="E24" s="222"/>
      <c r="F24" s="221" t="s">
        <v>265</v>
      </c>
      <c r="G24" s="223">
        <v>0</v>
      </c>
      <c r="H24" s="223">
        <f t="shared" si="12"/>
        <v>0</v>
      </c>
      <c r="I24" s="223">
        <f t="shared" si="13"/>
        <v>0</v>
      </c>
      <c r="J24" s="197"/>
      <c r="K24" s="224">
        <f t="shared" si="5"/>
        <v>48.5595</v>
      </c>
      <c r="L24" s="224">
        <f t="shared" si="6"/>
        <v>4.0094999999999992</v>
      </c>
      <c r="M24" s="224">
        <f t="shared" si="7"/>
        <v>44.55</v>
      </c>
      <c r="N24" s="225">
        <v>6.5</v>
      </c>
      <c r="O24" s="225">
        <v>32</v>
      </c>
      <c r="P24" s="225">
        <v>0.5</v>
      </c>
      <c r="Q24" s="225">
        <v>1.5</v>
      </c>
      <c r="R24" s="226">
        <v>0.1</v>
      </c>
      <c r="S24" s="227">
        <f t="shared" si="8"/>
        <v>4.05</v>
      </c>
      <c r="T24" s="228"/>
      <c r="U24" s="248"/>
    </row>
    <row r="25" spans="1:21" ht="73.5" outlineLevel="2">
      <c r="A25" s="221"/>
      <c r="B25" s="221"/>
      <c r="C25" s="220" t="s">
        <v>269</v>
      </c>
      <c r="D25" s="248" t="s">
        <v>273</v>
      </c>
      <c r="E25" s="222"/>
      <c r="F25" s="221" t="s">
        <v>265</v>
      </c>
      <c r="G25" s="223">
        <v>0</v>
      </c>
      <c r="H25" s="223">
        <f t="shared" si="12"/>
        <v>0</v>
      </c>
      <c r="I25" s="223">
        <f t="shared" si="13"/>
        <v>0</v>
      </c>
      <c r="J25" s="197"/>
      <c r="K25" s="224">
        <f t="shared" si="5"/>
        <v>14.951529999999998</v>
      </c>
      <c r="L25" s="224">
        <f t="shared" si="6"/>
        <v>1.2345299999999999</v>
      </c>
      <c r="M25" s="224">
        <f t="shared" si="7"/>
        <v>13.716999999999999</v>
      </c>
      <c r="N25" s="225">
        <v>4</v>
      </c>
      <c r="O25" s="225">
        <v>6.47</v>
      </c>
      <c r="P25" s="225">
        <v>0.5</v>
      </c>
      <c r="Q25" s="225">
        <v>1.5</v>
      </c>
      <c r="R25" s="226">
        <v>0.1</v>
      </c>
      <c r="S25" s="227">
        <f t="shared" si="8"/>
        <v>1.2469999999999999</v>
      </c>
      <c r="T25" s="228"/>
      <c r="U25" s="248"/>
    </row>
    <row r="26" spans="1:21" ht="84" outlineLevel="2">
      <c r="A26" s="221"/>
      <c r="B26" s="221"/>
      <c r="C26" s="220"/>
      <c r="D26" s="248" t="s">
        <v>274</v>
      </c>
      <c r="E26" s="222"/>
      <c r="F26" s="221" t="s">
        <v>265</v>
      </c>
      <c r="G26" s="223">
        <v>0</v>
      </c>
      <c r="H26" s="223">
        <f t="shared" si="12"/>
        <v>0</v>
      </c>
      <c r="I26" s="223">
        <f t="shared" si="13"/>
        <v>0</v>
      </c>
      <c r="J26" s="197"/>
      <c r="K26" s="224">
        <f t="shared" si="5"/>
        <v>25.179000000000002</v>
      </c>
      <c r="L26" s="224">
        <f t="shared" si="6"/>
        <v>2.0790000000000002</v>
      </c>
      <c r="M26" s="224">
        <f t="shared" si="7"/>
        <v>23.1</v>
      </c>
      <c r="N26" s="225">
        <v>5.5</v>
      </c>
      <c r="O26" s="225">
        <v>13.5</v>
      </c>
      <c r="P26" s="225">
        <v>0.5</v>
      </c>
      <c r="Q26" s="225">
        <v>1.5</v>
      </c>
      <c r="R26" s="226">
        <v>0.1</v>
      </c>
      <c r="S26" s="227">
        <f t="shared" si="8"/>
        <v>2.1</v>
      </c>
      <c r="T26" s="228"/>
      <c r="U26" s="248"/>
    </row>
    <row r="27" spans="1:21" ht="52.5" outlineLevel="2">
      <c r="A27" s="221"/>
      <c r="B27" s="221"/>
      <c r="C27" s="220" t="s">
        <v>275</v>
      </c>
      <c r="D27" s="222" t="s">
        <v>276</v>
      </c>
      <c r="E27" s="222"/>
      <c r="F27" s="221" t="s">
        <v>265</v>
      </c>
      <c r="G27" s="223">
        <v>0</v>
      </c>
      <c r="H27" s="223">
        <f t="shared" si="12"/>
        <v>0</v>
      </c>
      <c r="I27" s="223">
        <f t="shared" si="13"/>
        <v>0</v>
      </c>
      <c r="J27" s="197"/>
      <c r="K27" s="224">
        <f t="shared" si="5"/>
        <v>56.090733300970889</v>
      </c>
      <c r="L27" s="224">
        <f t="shared" si="6"/>
        <v>4.6313449514563114</v>
      </c>
      <c r="M27" s="224">
        <f t="shared" si="7"/>
        <v>51.459388349514576</v>
      </c>
      <c r="N27" s="225">
        <v>14</v>
      </c>
      <c r="O27" s="225">
        <f>0.051*调差材料基价表!E14</f>
        <v>21.291262135922338</v>
      </c>
      <c r="P27" s="225">
        <f>(1/0.25+1)*2*0.222*4.5</f>
        <v>9.99</v>
      </c>
      <c r="Q27" s="225">
        <v>1.5</v>
      </c>
      <c r="R27" s="226">
        <v>0.1</v>
      </c>
      <c r="S27" s="227">
        <f t="shared" si="8"/>
        <v>4.6781262135922344</v>
      </c>
      <c r="T27" s="238" t="s">
        <v>277</v>
      </c>
      <c r="U27" s="248"/>
    </row>
    <row r="28" spans="1:21" ht="52.5" outlineLevel="2">
      <c r="A28" s="221"/>
      <c r="B28" s="221"/>
      <c r="C28" s="220" t="s">
        <v>278</v>
      </c>
      <c r="D28" s="222" t="s">
        <v>270</v>
      </c>
      <c r="E28" s="222"/>
      <c r="F28" s="221" t="s">
        <v>265</v>
      </c>
      <c r="G28" s="223">
        <v>0</v>
      </c>
      <c r="H28" s="223">
        <f t="shared" si="12"/>
        <v>0</v>
      </c>
      <c r="I28" s="223">
        <f t="shared" si="13"/>
        <v>0</v>
      </c>
      <c r="J28" s="197"/>
      <c r="K28" s="224">
        <f t="shared" si="5"/>
        <v>16.786000000000001</v>
      </c>
      <c r="L28" s="224">
        <f t="shared" si="6"/>
        <v>1.3859999999999999</v>
      </c>
      <c r="M28" s="224">
        <f t="shared" si="7"/>
        <v>15.4</v>
      </c>
      <c r="N28" s="225">
        <v>8</v>
      </c>
      <c r="O28" s="225">
        <v>5</v>
      </c>
      <c r="P28" s="225">
        <v>1</v>
      </c>
      <c r="Q28" s="249"/>
      <c r="R28" s="226">
        <v>0.1</v>
      </c>
      <c r="S28" s="227">
        <f t="shared" si="8"/>
        <v>1.4000000000000001</v>
      </c>
      <c r="T28" s="228"/>
      <c r="U28" s="248"/>
    </row>
    <row r="29" spans="1:21" ht="63" outlineLevel="1">
      <c r="A29" s="221">
        <v>3</v>
      </c>
      <c r="B29" s="221">
        <v>2</v>
      </c>
      <c r="C29" s="220" t="s">
        <v>279</v>
      </c>
      <c r="D29" s="247" t="s">
        <v>263</v>
      </c>
      <c r="E29" s="222" t="s">
        <v>264</v>
      </c>
      <c r="F29" s="221" t="s">
        <v>265</v>
      </c>
      <c r="G29" s="223">
        <v>0</v>
      </c>
      <c r="H29" s="223">
        <f t="shared" si="12"/>
        <v>0</v>
      </c>
      <c r="I29" s="223">
        <f t="shared" si="13"/>
        <v>0</v>
      </c>
      <c r="J29" s="197"/>
      <c r="K29" s="224">
        <f t="shared" si="5"/>
        <v>0</v>
      </c>
      <c r="L29" s="224">
        <f t="shared" si="6"/>
        <v>0</v>
      </c>
      <c r="M29" s="224">
        <f t="shared" si="7"/>
        <v>0</v>
      </c>
      <c r="N29" s="225"/>
      <c r="O29" s="225"/>
      <c r="P29" s="225"/>
      <c r="Q29" s="225"/>
      <c r="R29" s="226">
        <v>0.1</v>
      </c>
      <c r="S29" s="227">
        <f t="shared" si="8"/>
        <v>0</v>
      </c>
      <c r="T29" s="238"/>
      <c r="U29" s="248"/>
    </row>
    <row r="30" spans="1:21" ht="84" outlineLevel="2">
      <c r="A30" s="221"/>
      <c r="B30" s="221"/>
      <c r="C30" s="220" t="s">
        <v>266</v>
      </c>
      <c r="D30" s="222" t="s">
        <v>280</v>
      </c>
      <c r="E30" s="222"/>
      <c r="F30" s="221" t="s">
        <v>265</v>
      </c>
      <c r="G30" s="223">
        <v>0</v>
      </c>
      <c r="H30" s="223">
        <f t="shared" si="12"/>
        <v>0</v>
      </c>
      <c r="I30" s="223">
        <f t="shared" si="13"/>
        <v>0</v>
      </c>
      <c r="J30" s="197"/>
      <c r="K30" s="224">
        <f t="shared" si="5"/>
        <v>37.457691262135903</v>
      </c>
      <c r="L30" s="224">
        <f t="shared" si="6"/>
        <v>3.0928368932038817</v>
      </c>
      <c r="M30" s="224">
        <f t="shared" si="7"/>
        <v>34.364854368932022</v>
      </c>
      <c r="N30" s="225">
        <f>N21</f>
        <v>14</v>
      </c>
      <c r="O30" s="225">
        <f>0.0408*调差材料基价表!E12</f>
        <v>16.240776699029109</v>
      </c>
      <c r="P30" s="225"/>
      <c r="Q30" s="225">
        <v>1</v>
      </c>
      <c r="R30" s="226">
        <v>0.1</v>
      </c>
      <c r="S30" s="227">
        <f t="shared" si="8"/>
        <v>3.1240776699029111</v>
      </c>
      <c r="T30" s="238" t="s">
        <v>281</v>
      </c>
      <c r="U30" s="248"/>
    </row>
    <row r="31" spans="1:21" ht="52.5" outlineLevel="2">
      <c r="A31" s="221"/>
      <c r="B31" s="221"/>
      <c r="C31" s="220" t="s">
        <v>269</v>
      </c>
      <c r="D31" s="222" t="s">
        <v>270</v>
      </c>
      <c r="E31" s="222"/>
      <c r="F31" s="221" t="s">
        <v>265</v>
      </c>
      <c r="G31" s="223">
        <v>0</v>
      </c>
      <c r="H31" s="223">
        <f t="shared" si="12"/>
        <v>0</v>
      </c>
      <c r="I31" s="223">
        <f t="shared" si="13"/>
        <v>0</v>
      </c>
      <c r="J31" s="197"/>
      <c r="K31" s="224">
        <f t="shared" si="5"/>
        <v>16.786000000000001</v>
      </c>
      <c r="L31" s="224">
        <f t="shared" si="6"/>
        <v>1.3859999999999999</v>
      </c>
      <c r="M31" s="224">
        <f t="shared" si="7"/>
        <v>15.4</v>
      </c>
      <c r="N31" s="225">
        <v>8</v>
      </c>
      <c r="O31" s="225">
        <v>5</v>
      </c>
      <c r="P31" s="225">
        <v>1</v>
      </c>
      <c r="Q31" s="249"/>
      <c r="R31" s="226">
        <v>0.1</v>
      </c>
      <c r="S31" s="227">
        <f t="shared" si="8"/>
        <v>1.4000000000000001</v>
      </c>
      <c r="T31" s="228"/>
      <c r="U31" s="248"/>
    </row>
    <row r="32" spans="1:21" ht="52.5" outlineLevel="1">
      <c r="A32" s="233"/>
      <c r="B32" s="233">
        <v>2</v>
      </c>
      <c r="C32" s="250" t="s">
        <v>282</v>
      </c>
      <c r="D32" s="250" t="s">
        <v>263</v>
      </c>
      <c r="E32" s="250" t="s">
        <v>283</v>
      </c>
      <c r="F32" s="233" t="s">
        <v>265</v>
      </c>
      <c r="G32" s="223">
        <v>325</v>
      </c>
      <c r="H32" s="223"/>
      <c r="I32" s="223"/>
      <c r="J32" s="197"/>
      <c r="K32" s="224"/>
      <c r="L32" s="224"/>
      <c r="M32" s="224"/>
      <c r="N32" s="225"/>
      <c r="O32" s="225"/>
      <c r="P32" s="225"/>
      <c r="Q32" s="225"/>
      <c r="R32" s="226"/>
      <c r="S32" s="227"/>
      <c r="T32" s="228"/>
      <c r="U32" s="248"/>
    </row>
    <row r="33" spans="1:21" ht="84" outlineLevel="2">
      <c r="A33" s="233"/>
      <c r="B33" s="233">
        <v>3</v>
      </c>
      <c r="C33" s="233" t="s">
        <v>266</v>
      </c>
      <c r="D33" s="250" t="s">
        <v>280</v>
      </c>
      <c r="E33" s="250"/>
      <c r="F33" s="233" t="s">
        <v>265</v>
      </c>
      <c r="G33" s="223">
        <v>325</v>
      </c>
      <c r="H33" s="223">
        <f t="shared" ref="H33" si="14">G33*K33</f>
        <v>12173.749660194168</v>
      </c>
      <c r="I33" s="223">
        <f t="shared" ref="I33" si="15">G33*K33*(1+J33)</f>
        <v>12173.749660194168</v>
      </c>
      <c r="J33" s="197"/>
      <c r="K33" s="224">
        <f t="shared" ref="K33:K34" si="16">L33+M33</f>
        <v>37.457691262135903</v>
      </c>
      <c r="L33" s="224">
        <f t="shared" ref="L33:L34" si="17">M33*0.09</f>
        <v>3.0928368932038817</v>
      </c>
      <c r="M33" s="224">
        <f t="shared" ref="M33:M34" si="18">N33+O33+P33+Q33+S33</f>
        <v>34.364854368932022</v>
      </c>
      <c r="N33" s="225">
        <v>14</v>
      </c>
      <c r="O33" s="225">
        <f>0.0408*调差材料基价表!E12</f>
        <v>16.240776699029109</v>
      </c>
      <c r="P33" s="225"/>
      <c r="Q33" s="225">
        <v>1</v>
      </c>
      <c r="R33" s="226">
        <v>0.1</v>
      </c>
      <c r="S33" s="227">
        <f t="shared" ref="S33" si="19">SUM(N33:Q33)*R33</f>
        <v>3.1240776699029111</v>
      </c>
      <c r="T33" s="251" t="s">
        <v>2012</v>
      </c>
      <c r="U33" s="248"/>
    </row>
    <row r="34" spans="1:21" ht="42" outlineLevel="2">
      <c r="A34" s="233"/>
      <c r="B34" s="233">
        <v>3</v>
      </c>
      <c r="C34" s="233" t="s">
        <v>269</v>
      </c>
      <c r="D34" s="250" t="s">
        <v>284</v>
      </c>
      <c r="E34" s="250"/>
      <c r="F34" s="233" t="s">
        <v>265</v>
      </c>
      <c r="G34" s="223">
        <v>0</v>
      </c>
      <c r="H34" s="223">
        <f t="shared" ref="H34" si="20">G34*K34</f>
        <v>0</v>
      </c>
      <c r="I34" s="223">
        <f t="shared" ref="I34" si="21">G34*K34*(1+J34)</f>
        <v>0</v>
      </c>
      <c r="J34" s="197"/>
      <c r="K34" s="224">
        <f t="shared" si="16"/>
        <v>54.532382524271803</v>
      </c>
      <c r="L34" s="224">
        <f t="shared" si="17"/>
        <v>4.5026737864077635</v>
      </c>
      <c r="M34" s="224">
        <f t="shared" si="18"/>
        <v>50.029708737864041</v>
      </c>
      <c r="N34" s="225">
        <v>12</v>
      </c>
      <c r="O34" s="225">
        <f>0.0816*调差材料基价表!E12</f>
        <v>32.481553398058217</v>
      </c>
      <c r="P34" s="225"/>
      <c r="Q34" s="225">
        <v>1</v>
      </c>
      <c r="R34" s="226">
        <v>0.1</v>
      </c>
      <c r="S34" s="227">
        <f t="shared" ref="S34" si="22">SUM(N34:Q34)*R34</f>
        <v>4.5481553398058221</v>
      </c>
      <c r="T34" s="251" t="s">
        <v>2013</v>
      </c>
      <c r="U34" s="248"/>
    </row>
    <row r="35" spans="1:21" ht="52.5" outlineLevel="1">
      <c r="A35" s="233">
        <v>4</v>
      </c>
      <c r="B35" s="233">
        <v>2</v>
      </c>
      <c r="C35" s="250" t="s">
        <v>286</v>
      </c>
      <c r="D35" s="250" t="s">
        <v>263</v>
      </c>
      <c r="E35" s="250" t="s">
        <v>283</v>
      </c>
      <c r="F35" s="233" t="s">
        <v>265</v>
      </c>
      <c r="G35" s="223">
        <v>0</v>
      </c>
      <c r="H35" s="223"/>
      <c r="I35" s="223"/>
      <c r="J35" s="197"/>
      <c r="K35" s="224"/>
      <c r="L35" s="224"/>
      <c r="M35" s="224"/>
      <c r="N35" s="225"/>
      <c r="O35" s="225"/>
      <c r="P35" s="225"/>
      <c r="Q35" s="225"/>
      <c r="R35" s="226"/>
      <c r="S35" s="227"/>
      <c r="T35" s="228"/>
      <c r="U35" s="248"/>
    </row>
    <row r="36" spans="1:21" ht="84" outlineLevel="2">
      <c r="A36" s="233"/>
      <c r="B36" s="233">
        <v>3</v>
      </c>
      <c r="C36" s="233" t="s">
        <v>266</v>
      </c>
      <c r="D36" s="250" t="s">
        <v>280</v>
      </c>
      <c r="E36" s="250"/>
      <c r="F36" s="233" t="s">
        <v>265</v>
      </c>
      <c r="G36" s="223">
        <v>0</v>
      </c>
      <c r="H36" s="223">
        <f t="shared" ref="H36:H39" si="23">G36*K36</f>
        <v>0</v>
      </c>
      <c r="I36" s="223">
        <f t="shared" ref="I36:I39" si="24">G36*K36*(1+J36)</f>
        <v>0</v>
      </c>
      <c r="J36" s="197"/>
      <c r="K36" s="224">
        <f t="shared" ref="K36:K39" si="25">L36+M36</f>
        <v>37.457691262135903</v>
      </c>
      <c r="L36" s="224">
        <f t="shared" ref="L36:L39" si="26">M36*0.09</f>
        <v>3.0928368932038817</v>
      </c>
      <c r="M36" s="224">
        <f t="shared" ref="M36:M39" si="27">N36+O36+P36+Q36+S36</f>
        <v>34.364854368932022</v>
      </c>
      <c r="N36" s="225">
        <v>14</v>
      </c>
      <c r="O36" s="225">
        <f>0.0408*调差材料基价表!E12</f>
        <v>16.240776699029109</v>
      </c>
      <c r="P36" s="225"/>
      <c r="Q36" s="225">
        <v>1</v>
      </c>
      <c r="R36" s="226">
        <v>0.1</v>
      </c>
      <c r="S36" s="227">
        <f t="shared" ref="S36" si="28">SUM(N36:Q36)*R36</f>
        <v>3.1240776699029111</v>
      </c>
      <c r="T36" s="251" t="s">
        <v>2012</v>
      </c>
      <c r="U36" s="248"/>
    </row>
    <row r="37" spans="1:21" ht="42" outlineLevel="2">
      <c r="A37" s="233"/>
      <c r="B37" s="233">
        <v>3</v>
      </c>
      <c r="C37" s="233" t="s">
        <v>269</v>
      </c>
      <c r="D37" s="250" t="s">
        <v>287</v>
      </c>
      <c r="E37" s="250"/>
      <c r="F37" s="233" t="s">
        <v>265</v>
      </c>
      <c r="G37" s="223">
        <v>0</v>
      </c>
      <c r="H37" s="223">
        <f t="shared" si="23"/>
        <v>0</v>
      </c>
      <c r="I37" s="223">
        <f t="shared" si="24"/>
        <v>0</v>
      </c>
      <c r="J37" s="197"/>
      <c r="K37" s="224">
        <f t="shared" si="25"/>
        <v>54.532382524271803</v>
      </c>
      <c r="L37" s="224">
        <f t="shared" si="26"/>
        <v>4.5026737864077635</v>
      </c>
      <c r="M37" s="224">
        <f t="shared" si="27"/>
        <v>50.029708737864041</v>
      </c>
      <c r="N37" s="225">
        <v>12</v>
      </c>
      <c r="O37" s="225">
        <f>0.0816*调差材料基价表!E12</f>
        <v>32.481553398058217</v>
      </c>
      <c r="P37" s="225"/>
      <c r="Q37" s="225">
        <v>1</v>
      </c>
      <c r="R37" s="226">
        <v>0.1</v>
      </c>
      <c r="S37" s="227">
        <f t="shared" ref="S37:S38" si="29">SUM(N37:Q37)*R37</f>
        <v>4.5481553398058221</v>
      </c>
      <c r="T37" s="251" t="s">
        <v>2014</v>
      </c>
      <c r="U37" s="248"/>
    </row>
    <row r="38" spans="1:21" ht="63" outlineLevel="2">
      <c r="A38" s="233"/>
      <c r="B38" s="233">
        <v>3</v>
      </c>
      <c r="C38" s="233" t="s">
        <v>275</v>
      </c>
      <c r="D38" s="250" t="s">
        <v>288</v>
      </c>
      <c r="E38" s="250"/>
      <c r="F38" s="233" t="s">
        <v>162</v>
      </c>
      <c r="G38" s="223">
        <v>0</v>
      </c>
      <c r="H38" s="223">
        <f t="shared" si="23"/>
        <v>0</v>
      </c>
      <c r="I38" s="223">
        <f t="shared" si="24"/>
        <v>0</v>
      </c>
      <c r="J38" s="197"/>
      <c r="K38" s="224">
        <f t="shared" si="25"/>
        <v>718.19401553398029</v>
      </c>
      <c r="L38" s="224">
        <f t="shared" si="26"/>
        <v>59.300423300970849</v>
      </c>
      <c r="M38" s="224">
        <f t="shared" si="27"/>
        <v>658.89359223300949</v>
      </c>
      <c r="N38" s="225">
        <v>250</v>
      </c>
      <c r="O38" s="225">
        <f>0.532*调差材料基价表!E29</f>
        <v>247.92233009708733</v>
      </c>
      <c r="P38" s="225">
        <f>0.2366*调差材料基价表!E40</f>
        <v>101.07184466019407</v>
      </c>
      <c r="Q38" s="225">
        <v>0</v>
      </c>
      <c r="R38" s="226">
        <v>0.1</v>
      </c>
      <c r="S38" s="227">
        <f t="shared" si="29"/>
        <v>59.899417475728143</v>
      </c>
      <c r="T38" s="252" t="s">
        <v>289</v>
      </c>
      <c r="U38" s="248"/>
    </row>
    <row r="39" spans="1:21" ht="52.5" outlineLevel="1">
      <c r="A39" s="233"/>
      <c r="B39" s="233">
        <v>2</v>
      </c>
      <c r="C39" s="253" t="s">
        <v>290</v>
      </c>
      <c r="D39" s="250" t="s">
        <v>291</v>
      </c>
      <c r="E39" s="250" t="s">
        <v>292</v>
      </c>
      <c r="F39" s="253" t="s">
        <v>265</v>
      </c>
      <c r="G39" s="223">
        <v>0</v>
      </c>
      <c r="H39" s="223">
        <f t="shared" si="23"/>
        <v>0</v>
      </c>
      <c r="I39" s="223">
        <f t="shared" si="24"/>
        <v>0</v>
      </c>
      <c r="J39" s="197"/>
      <c r="K39" s="224">
        <f t="shared" si="25"/>
        <v>61.196377961165069</v>
      </c>
      <c r="L39" s="224">
        <f t="shared" si="26"/>
        <v>5.0529119417475741</v>
      </c>
      <c r="M39" s="224">
        <f t="shared" si="27"/>
        <v>56.143466019417495</v>
      </c>
      <c r="N39" s="225">
        <v>14</v>
      </c>
      <c r="O39" s="225">
        <f>0.0612*调差材料基价表!E14</f>
        <v>25.549514563106808</v>
      </c>
      <c r="P39" s="225">
        <f>(1/0.25+1)*2*0.222*4.5</f>
        <v>9.99</v>
      </c>
      <c r="Q39" s="225">
        <v>1.5</v>
      </c>
      <c r="R39" s="226">
        <v>0.1</v>
      </c>
      <c r="S39" s="227">
        <f t="shared" ref="S39" si="30">SUM(N39:Q39)*R39</f>
        <v>5.103951456310682</v>
      </c>
      <c r="T39" s="252" t="s">
        <v>293</v>
      </c>
      <c r="U39" s="248"/>
    </row>
    <row r="40" spans="1:21" ht="52.5" outlineLevel="1">
      <c r="A40" s="221">
        <v>5</v>
      </c>
      <c r="B40" s="221">
        <v>2</v>
      </c>
      <c r="C40" s="222" t="s">
        <v>294</v>
      </c>
      <c r="D40" s="247" t="s">
        <v>263</v>
      </c>
      <c r="E40" s="222" t="s">
        <v>283</v>
      </c>
      <c r="F40" s="221" t="s">
        <v>265</v>
      </c>
      <c r="G40" s="223">
        <v>0</v>
      </c>
      <c r="H40" s="223">
        <f t="shared" ref="H40:H61" si="31">G40*K40</f>
        <v>0</v>
      </c>
      <c r="I40" s="223">
        <f t="shared" ref="I40:I61" si="32">G40*K40*(1+J40)</f>
        <v>0</v>
      </c>
      <c r="J40" s="197"/>
      <c r="K40" s="224">
        <f t="shared" ref="K40:K61" si="33">L40+M40</f>
        <v>0</v>
      </c>
      <c r="L40" s="224">
        <f t="shared" ref="L40:L61" si="34">M40*0.09</f>
        <v>0</v>
      </c>
      <c r="M40" s="224">
        <f t="shared" ref="M40:M61" si="35">N40+O40+P40+Q40+S40</f>
        <v>0</v>
      </c>
      <c r="N40" s="225"/>
      <c r="O40" s="225"/>
      <c r="P40" s="225"/>
      <c r="Q40" s="225"/>
      <c r="R40" s="226">
        <v>0.1</v>
      </c>
      <c r="S40" s="227">
        <f t="shared" ref="S40:S61" si="36">SUM(N40:Q40)*R40</f>
        <v>0</v>
      </c>
      <c r="T40" s="238"/>
      <c r="U40" s="248"/>
    </row>
    <row r="41" spans="1:21" ht="31.5" outlineLevel="2">
      <c r="A41" s="221"/>
      <c r="B41" s="221">
        <v>3</v>
      </c>
      <c r="C41" s="222" t="s">
        <v>266</v>
      </c>
      <c r="D41" s="222" t="s">
        <v>295</v>
      </c>
      <c r="E41" s="222"/>
      <c r="F41" s="221" t="s">
        <v>265</v>
      </c>
      <c r="G41" s="223">
        <v>0</v>
      </c>
      <c r="H41" s="223">
        <f t="shared" si="31"/>
        <v>0</v>
      </c>
      <c r="I41" s="223">
        <f t="shared" si="32"/>
        <v>0</v>
      </c>
      <c r="J41" s="197"/>
      <c r="K41" s="224">
        <f t="shared" si="33"/>
        <v>35.534634951456312</v>
      </c>
      <c r="L41" s="224">
        <f t="shared" si="34"/>
        <v>2.9340524271844659</v>
      </c>
      <c r="M41" s="224">
        <f t="shared" si="35"/>
        <v>32.600582524271843</v>
      </c>
      <c r="N41" s="225">
        <v>12</v>
      </c>
      <c r="O41" s="225">
        <f>0.0408*调差材料基价表!E13</f>
        <v>16.636893203883492</v>
      </c>
      <c r="P41" s="225"/>
      <c r="Q41" s="225">
        <v>1</v>
      </c>
      <c r="R41" s="226">
        <v>0.1</v>
      </c>
      <c r="S41" s="227">
        <f t="shared" si="36"/>
        <v>2.9636893203883492</v>
      </c>
      <c r="T41" s="228" t="s">
        <v>281</v>
      </c>
      <c r="U41" s="248"/>
    </row>
    <row r="42" spans="1:21" ht="52.5" outlineLevel="2">
      <c r="A42" s="221"/>
      <c r="B42" s="221">
        <v>3</v>
      </c>
      <c r="C42" s="222" t="s">
        <v>269</v>
      </c>
      <c r="D42" s="222" t="s">
        <v>270</v>
      </c>
      <c r="E42" s="222"/>
      <c r="F42" s="221" t="s">
        <v>265</v>
      </c>
      <c r="G42" s="223">
        <v>0</v>
      </c>
      <c r="H42" s="223">
        <f t="shared" si="31"/>
        <v>0</v>
      </c>
      <c r="I42" s="223">
        <f t="shared" si="32"/>
        <v>0</v>
      </c>
      <c r="J42" s="197"/>
      <c r="K42" s="224">
        <f t="shared" si="33"/>
        <v>16.786000000000001</v>
      </c>
      <c r="L42" s="224">
        <f t="shared" si="34"/>
        <v>1.3859999999999999</v>
      </c>
      <c r="M42" s="224">
        <f t="shared" si="35"/>
        <v>15.4</v>
      </c>
      <c r="N42" s="225">
        <v>8</v>
      </c>
      <c r="O42" s="225">
        <v>5</v>
      </c>
      <c r="P42" s="225">
        <v>1</v>
      </c>
      <c r="Q42" s="249"/>
      <c r="R42" s="226">
        <v>0.1</v>
      </c>
      <c r="S42" s="227">
        <f t="shared" si="36"/>
        <v>1.4000000000000001</v>
      </c>
      <c r="T42" s="228"/>
      <c r="U42" s="248"/>
    </row>
    <row r="43" spans="1:21" ht="115.5" outlineLevel="1">
      <c r="A43" s="221"/>
      <c r="B43" s="221">
        <v>2</v>
      </c>
      <c r="C43" s="220" t="s">
        <v>296</v>
      </c>
      <c r="D43" s="222" t="s">
        <v>297</v>
      </c>
      <c r="E43" s="222" t="s">
        <v>283</v>
      </c>
      <c r="F43" s="221" t="s">
        <v>265</v>
      </c>
      <c r="G43" s="223">
        <v>0</v>
      </c>
      <c r="H43" s="223">
        <f t="shared" si="31"/>
        <v>0</v>
      </c>
      <c r="I43" s="223">
        <f t="shared" si="32"/>
        <v>0</v>
      </c>
      <c r="J43" s="197"/>
      <c r="K43" s="224">
        <f t="shared" si="33"/>
        <v>64.268728155339744</v>
      </c>
      <c r="L43" s="224">
        <f t="shared" si="34"/>
        <v>5.3065922330097033</v>
      </c>
      <c r="M43" s="224">
        <f t="shared" si="35"/>
        <v>58.962135922330042</v>
      </c>
      <c r="N43" s="225">
        <v>12</v>
      </c>
      <c r="O43" s="225">
        <f>0.102*调差材料基价表!E11</f>
        <v>40.601941747572766</v>
      </c>
      <c r="P43" s="225"/>
      <c r="Q43" s="225">
        <v>1</v>
      </c>
      <c r="R43" s="226">
        <v>0.1</v>
      </c>
      <c r="S43" s="227">
        <f t="shared" si="36"/>
        <v>5.360194174757277</v>
      </c>
      <c r="T43" s="252" t="s">
        <v>298</v>
      </c>
      <c r="U43" s="248"/>
    </row>
    <row r="44" spans="1:21" ht="52.5" outlineLevel="1">
      <c r="A44" s="221"/>
      <c r="B44" s="221">
        <v>2</v>
      </c>
      <c r="C44" s="220" t="s">
        <v>299</v>
      </c>
      <c r="D44" s="222" t="s">
        <v>297</v>
      </c>
      <c r="E44" s="222" t="s">
        <v>283</v>
      </c>
      <c r="F44" s="221" t="s">
        <v>265</v>
      </c>
      <c r="G44" s="223">
        <v>0</v>
      </c>
      <c r="H44" s="223">
        <f t="shared" si="31"/>
        <v>0</v>
      </c>
      <c r="I44" s="223">
        <f t="shared" si="32"/>
        <v>0</v>
      </c>
      <c r="J44" s="197"/>
      <c r="K44" s="224">
        <f t="shared" si="33"/>
        <v>64.268728155339744</v>
      </c>
      <c r="L44" s="224">
        <f t="shared" si="34"/>
        <v>5.3065922330097033</v>
      </c>
      <c r="M44" s="224">
        <f t="shared" si="35"/>
        <v>58.962135922330042</v>
      </c>
      <c r="N44" s="225">
        <v>12</v>
      </c>
      <c r="O44" s="225">
        <f>0.102*调差材料基价表!E11</f>
        <v>40.601941747572766</v>
      </c>
      <c r="P44" s="225"/>
      <c r="Q44" s="225">
        <v>1</v>
      </c>
      <c r="R44" s="226">
        <v>0.1</v>
      </c>
      <c r="S44" s="227">
        <f t="shared" si="36"/>
        <v>5.360194174757277</v>
      </c>
      <c r="T44" s="252" t="s">
        <v>298</v>
      </c>
      <c r="U44" s="248"/>
    </row>
    <row r="45" spans="1:21" ht="52.5" outlineLevel="1">
      <c r="A45" s="233">
        <v>6</v>
      </c>
      <c r="B45" s="233">
        <v>2</v>
      </c>
      <c r="C45" s="254" t="s">
        <v>300</v>
      </c>
      <c r="D45" s="250" t="s">
        <v>263</v>
      </c>
      <c r="E45" s="250" t="s">
        <v>2015</v>
      </c>
      <c r="F45" s="233" t="s">
        <v>212</v>
      </c>
      <c r="G45" s="223">
        <v>0</v>
      </c>
      <c r="H45" s="223">
        <f t="shared" si="31"/>
        <v>0</v>
      </c>
      <c r="I45" s="223">
        <f t="shared" si="32"/>
        <v>0</v>
      </c>
      <c r="J45" s="197"/>
      <c r="K45" s="224">
        <f t="shared" si="33"/>
        <v>0</v>
      </c>
      <c r="L45" s="224">
        <f t="shared" si="34"/>
        <v>0</v>
      </c>
      <c r="M45" s="224">
        <f t="shared" si="35"/>
        <v>0</v>
      </c>
      <c r="N45" s="225"/>
      <c r="O45" s="225"/>
      <c r="P45" s="225"/>
      <c r="Q45" s="225"/>
      <c r="R45" s="226">
        <v>0.1</v>
      </c>
      <c r="S45" s="227">
        <f t="shared" si="36"/>
        <v>0</v>
      </c>
      <c r="T45" s="238"/>
      <c r="U45" s="248"/>
    </row>
    <row r="46" spans="1:21" ht="42" outlineLevel="2">
      <c r="A46" s="221"/>
      <c r="B46" s="221">
        <v>3</v>
      </c>
      <c r="C46" s="220" t="s">
        <v>266</v>
      </c>
      <c r="D46" s="222" t="s">
        <v>301</v>
      </c>
      <c r="E46" s="222"/>
      <c r="F46" s="221" t="s">
        <v>265</v>
      </c>
      <c r="G46" s="223">
        <v>0</v>
      </c>
      <c r="H46" s="223">
        <f t="shared" si="31"/>
        <v>0</v>
      </c>
      <c r="I46" s="223">
        <f t="shared" si="32"/>
        <v>0</v>
      </c>
      <c r="J46" s="197"/>
      <c r="K46" s="224">
        <f t="shared" si="33"/>
        <v>25.32996325197864</v>
      </c>
      <c r="L46" s="224">
        <f t="shared" si="34"/>
        <v>2.0914648556679611</v>
      </c>
      <c r="M46" s="224">
        <f t="shared" si="35"/>
        <v>23.238498396310678</v>
      </c>
      <c r="N46" s="225">
        <v>12</v>
      </c>
      <c r="O46" s="225">
        <f>9.6758*调差材料基价表!E63/1000+调差材料基价表!E64*0.0264</f>
        <v>8.1259076330097066</v>
      </c>
      <c r="P46" s="225"/>
      <c r="Q46" s="225">
        <v>1</v>
      </c>
      <c r="R46" s="226">
        <v>0.1</v>
      </c>
      <c r="S46" s="227">
        <f t="shared" si="36"/>
        <v>2.1125907633009708</v>
      </c>
      <c r="T46" s="252" t="s">
        <v>302</v>
      </c>
      <c r="U46" s="248"/>
    </row>
    <row r="47" spans="1:21" ht="31.5" outlineLevel="2">
      <c r="A47" s="233"/>
      <c r="B47" s="233">
        <v>3</v>
      </c>
      <c r="C47" s="254" t="s">
        <v>269</v>
      </c>
      <c r="D47" s="250" t="s">
        <v>303</v>
      </c>
      <c r="E47" s="250"/>
      <c r="F47" s="233" t="s">
        <v>265</v>
      </c>
      <c r="G47" s="223">
        <v>0</v>
      </c>
      <c r="H47" s="223">
        <f t="shared" si="31"/>
        <v>0</v>
      </c>
      <c r="I47" s="223">
        <f t="shared" si="32"/>
        <v>0</v>
      </c>
      <c r="J47" s="197"/>
      <c r="K47" s="224">
        <f t="shared" si="33"/>
        <v>26.74817669902912</v>
      </c>
      <c r="L47" s="224">
        <f t="shared" si="34"/>
        <v>2.2085650485436887</v>
      </c>
      <c r="M47" s="224">
        <f t="shared" si="35"/>
        <v>24.53961165048543</v>
      </c>
      <c r="N47" s="225">
        <v>12</v>
      </c>
      <c r="O47" s="225">
        <f>0.0204*调差材料基价表!E43</f>
        <v>9.3087378640776617</v>
      </c>
      <c r="P47" s="225"/>
      <c r="Q47" s="225">
        <v>1</v>
      </c>
      <c r="R47" s="226">
        <v>0.1</v>
      </c>
      <c r="S47" s="227">
        <f t="shared" si="36"/>
        <v>2.2308737864077663</v>
      </c>
      <c r="T47" s="238" t="s">
        <v>253</v>
      </c>
      <c r="U47" s="248"/>
    </row>
    <row r="48" spans="1:21" ht="63" outlineLevel="2">
      <c r="A48" s="233"/>
      <c r="B48" s="233">
        <v>3</v>
      </c>
      <c r="C48" s="254" t="s">
        <v>275</v>
      </c>
      <c r="D48" s="250" t="s">
        <v>304</v>
      </c>
      <c r="E48" s="250"/>
      <c r="F48" s="233" t="s">
        <v>162</v>
      </c>
      <c r="G48" s="223">
        <v>0</v>
      </c>
      <c r="H48" s="223">
        <f t="shared" si="31"/>
        <v>0</v>
      </c>
      <c r="I48" s="223">
        <f t="shared" si="32"/>
        <v>0</v>
      </c>
      <c r="J48" s="197"/>
      <c r="K48" s="224">
        <f t="shared" si="33"/>
        <v>718.19401553398029</v>
      </c>
      <c r="L48" s="224">
        <f t="shared" si="34"/>
        <v>59.300423300970849</v>
      </c>
      <c r="M48" s="224">
        <f t="shared" si="35"/>
        <v>658.89359223300949</v>
      </c>
      <c r="N48" s="225">
        <v>250</v>
      </c>
      <c r="O48" s="225">
        <f>0.532*调差材料基价表!E29</f>
        <v>247.92233009708733</v>
      </c>
      <c r="P48" s="225">
        <f>0.2366*调差材料基价表!E40</f>
        <v>101.07184466019407</v>
      </c>
      <c r="Q48" s="225">
        <v>0</v>
      </c>
      <c r="R48" s="226">
        <v>0.1</v>
      </c>
      <c r="S48" s="227">
        <f t="shared" si="36"/>
        <v>59.899417475728143</v>
      </c>
      <c r="T48" s="252" t="s">
        <v>289</v>
      </c>
      <c r="U48" s="248"/>
    </row>
    <row r="49" spans="1:21" ht="21" outlineLevel="2">
      <c r="A49" s="233"/>
      <c r="B49" s="233">
        <v>3</v>
      </c>
      <c r="C49" s="254" t="s">
        <v>278</v>
      </c>
      <c r="D49" s="250" t="s">
        <v>305</v>
      </c>
      <c r="E49" s="250"/>
      <c r="F49" s="233" t="s">
        <v>162</v>
      </c>
      <c r="G49" s="223">
        <v>0</v>
      </c>
      <c r="H49" s="223">
        <f t="shared" si="31"/>
        <v>0</v>
      </c>
      <c r="I49" s="223">
        <f t="shared" si="32"/>
        <v>0</v>
      </c>
      <c r="J49" s="197"/>
      <c r="K49" s="224">
        <f t="shared" si="33"/>
        <v>606.71728155339747</v>
      </c>
      <c r="L49" s="224">
        <f t="shared" si="34"/>
        <v>50.095922330097039</v>
      </c>
      <c r="M49" s="224">
        <f t="shared" si="35"/>
        <v>556.62135922330049</v>
      </c>
      <c r="N49" s="225">
        <v>100</v>
      </c>
      <c r="O49" s="225">
        <f>调差材料基价表!E11*1.02</f>
        <v>406.01941747572772</v>
      </c>
      <c r="P49" s="225"/>
      <c r="Q49" s="225">
        <v>0</v>
      </c>
      <c r="R49" s="226">
        <v>0.1</v>
      </c>
      <c r="S49" s="227">
        <f t="shared" si="36"/>
        <v>50.601941747572774</v>
      </c>
      <c r="T49" s="238" t="s">
        <v>253</v>
      </c>
      <c r="U49" s="248"/>
    </row>
    <row r="50" spans="1:21" ht="52.5" outlineLevel="1">
      <c r="A50" s="233">
        <v>7</v>
      </c>
      <c r="B50" s="233">
        <v>2</v>
      </c>
      <c r="C50" s="254" t="s">
        <v>306</v>
      </c>
      <c r="D50" s="250" t="s">
        <v>263</v>
      </c>
      <c r="E50" s="250" t="s">
        <v>2016</v>
      </c>
      <c r="F50" s="233" t="s">
        <v>212</v>
      </c>
      <c r="G50" s="223">
        <v>0</v>
      </c>
      <c r="H50" s="223">
        <f t="shared" si="31"/>
        <v>0</v>
      </c>
      <c r="I50" s="223">
        <f t="shared" si="32"/>
        <v>0</v>
      </c>
      <c r="J50" s="197"/>
      <c r="K50" s="224">
        <f t="shared" si="33"/>
        <v>0</v>
      </c>
      <c r="L50" s="224">
        <f t="shared" si="34"/>
        <v>0</v>
      </c>
      <c r="M50" s="224">
        <f t="shared" si="35"/>
        <v>0</v>
      </c>
      <c r="N50" s="225"/>
      <c r="O50" s="225"/>
      <c r="P50" s="225"/>
      <c r="Q50" s="225"/>
      <c r="R50" s="226">
        <v>0.1</v>
      </c>
      <c r="S50" s="227">
        <f t="shared" si="36"/>
        <v>0</v>
      </c>
      <c r="T50" s="238"/>
      <c r="U50" s="248"/>
    </row>
    <row r="51" spans="1:21" ht="21" outlineLevel="2">
      <c r="A51" s="233"/>
      <c r="B51" s="233">
        <v>3</v>
      </c>
      <c r="C51" s="254" t="s">
        <v>266</v>
      </c>
      <c r="D51" s="250" t="s">
        <v>307</v>
      </c>
      <c r="E51" s="250"/>
      <c r="F51" s="233" t="s">
        <v>265</v>
      </c>
      <c r="G51" s="223">
        <v>0</v>
      </c>
      <c r="H51" s="223">
        <f t="shared" si="31"/>
        <v>0</v>
      </c>
      <c r="I51" s="223">
        <f t="shared" si="32"/>
        <v>0</v>
      </c>
      <c r="J51" s="197"/>
      <c r="K51" s="224">
        <f t="shared" si="33"/>
        <v>44.363</v>
      </c>
      <c r="L51" s="224">
        <f t="shared" si="34"/>
        <v>3.6630000000000003</v>
      </c>
      <c r="M51" s="224">
        <f t="shared" si="35"/>
        <v>40.700000000000003</v>
      </c>
      <c r="N51" s="225">
        <v>12</v>
      </c>
      <c r="O51" s="225">
        <v>25</v>
      </c>
      <c r="P51" s="225"/>
      <c r="Q51" s="225">
        <v>0</v>
      </c>
      <c r="R51" s="226">
        <v>0.1</v>
      </c>
      <c r="S51" s="227">
        <f t="shared" si="36"/>
        <v>3.7</v>
      </c>
      <c r="T51" s="228"/>
      <c r="U51" s="248"/>
    </row>
    <row r="52" spans="1:21" ht="42" outlineLevel="2">
      <c r="A52" s="221"/>
      <c r="B52" s="221">
        <v>3</v>
      </c>
      <c r="C52" s="220" t="s">
        <v>269</v>
      </c>
      <c r="D52" s="222" t="s">
        <v>301</v>
      </c>
      <c r="E52" s="222"/>
      <c r="F52" s="221" t="s">
        <v>265</v>
      </c>
      <c r="G52" s="223">
        <v>0</v>
      </c>
      <c r="H52" s="223">
        <f t="shared" si="31"/>
        <v>0</v>
      </c>
      <c r="I52" s="223">
        <f t="shared" si="32"/>
        <v>0</v>
      </c>
      <c r="J52" s="197"/>
      <c r="K52" s="224">
        <f t="shared" si="33"/>
        <v>25.32996325197864</v>
      </c>
      <c r="L52" s="224">
        <f t="shared" si="34"/>
        <v>2.0914648556679611</v>
      </c>
      <c r="M52" s="224">
        <f t="shared" si="35"/>
        <v>23.238498396310678</v>
      </c>
      <c r="N52" s="225">
        <f>N46</f>
        <v>12</v>
      </c>
      <c r="O52" s="225">
        <f>9.6758*调差材料基价表!E63/1000+调差材料基价表!E64*0.0264</f>
        <v>8.1259076330097066</v>
      </c>
      <c r="P52" s="225">
        <f>P46</f>
        <v>0</v>
      </c>
      <c r="Q52" s="225">
        <f>Q46</f>
        <v>1</v>
      </c>
      <c r="R52" s="226">
        <v>0.1</v>
      </c>
      <c r="S52" s="227">
        <f t="shared" si="36"/>
        <v>2.1125907633009708</v>
      </c>
      <c r="T52" s="252" t="s">
        <v>302</v>
      </c>
      <c r="U52" s="248"/>
    </row>
    <row r="53" spans="1:21" ht="31.5" outlineLevel="2">
      <c r="A53" s="233"/>
      <c r="B53" s="233">
        <v>3</v>
      </c>
      <c r="C53" s="254" t="s">
        <v>275</v>
      </c>
      <c r="D53" s="250" t="s">
        <v>303</v>
      </c>
      <c r="E53" s="250"/>
      <c r="F53" s="233" t="s">
        <v>265</v>
      </c>
      <c r="G53" s="223">
        <v>0</v>
      </c>
      <c r="H53" s="223">
        <f t="shared" si="31"/>
        <v>0</v>
      </c>
      <c r="I53" s="223">
        <f t="shared" si="32"/>
        <v>0</v>
      </c>
      <c r="J53" s="197"/>
      <c r="K53" s="224">
        <f t="shared" si="33"/>
        <v>26.74817669902912</v>
      </c>
      <c r="L53" s="224">
        <f t="shared" si="34"/>
        <v>2.2085650485436887</v>
      </c>
      <c r="M53" s="224">
        <f t="shared" si="35"/>
        <v>24.53961165048543</v>
      </c>
      <c r="N53" s="225">
        <f>N47</f>
        <v>12</v>
      </c>
      <c r="O53" s="225">
        <f>0.0204*调差材料基价表!E43</f>
        <v>9.3087378640776617</v>
      </c>
      <c r="P53" s="225">
        <f>P47</f>
        <v>0</v>
      </c>
      <c r="Q53" s="225">
        <f>Q47</f>
        <v>1</v>
      </c>
      <c r="R53" s="226">
        <v>0.1</v>
      </c>
      <c r="S53" s="227">
        <f t="shared" si="36"/>
        <v>2.2308737864077663</v>
      </c>
      <c r="T53" s="238" t="s">
        <v>253</v>
      </c>
      <c r="U53" s="248"/>
    </row>
    <row r="54" spans="1:21" ht="63" outlineLevel="2">
      <c r="A54" s="233"/>
      <c r="B54" s="233">
        <v>3</v>
      </c>
      <c r="C54" s="254" t="s">
        <v>278</v>
      </c>
      <c r="D54" s="250" t="s">
        <v>304</v>
      </c>
      <c r="E54" s="250"/>
      <c r="F54" s="233" t="s">
        <v>162</v>
      </c>
      <c r="G54" s="223">
        <v>0</v>
      </c>
      <c r="H54" s="223">
        <f t="shared" si="31"/>
        <v>0</v>
      </c>
      <c r="I54" s="223">
        <f t="shared" si="32"/>
        <v>0</v>
      </c>
      <c r="J54" s="197"/>
      <c r="K54" s="224">
        <f t="shared" si="33"/>
        <v>718.19401553398029</v>
      </c>
      <c r="L54" s="224">
        <f t="shared" si="34"/>
        <v>59.300423300970849</v>
      </c>
      <c r="M54" s="224">
        <f t="shared" si="35"/>
        <v>658.89359223300949</v>
      </c>
      <c r="N54" s="225">
        <f>N48</f>
        <v>250</v>
      </c>
      <c r="O54" s="225">
        <f>0.532*调差材料基价表!E29</f>
        <v>247.92233009708733</v>
      </c>
      <c r="P54" s="225">
        <f>P48</f>
        <v>101.07184466019407</v>
      </c>
      <c r="Q54" s="225">
        <v>0</v>
      </c>
      <c r="R54" s="226">
        <v>0.1</v>
      </c>
      <c r="S54" s="227">
        <f t="shared" si="36"/>
        <v>59.899417475728143</v>
      </c>
      <c r="T54" s="252" t="s">
        <v>289</v>
      </c>
      <c r="U54" s="248"/>
    </row>
    <row r="55" spans="1:21" ht="21" outlineLevel="2">
      <c r="A55" s="233"/>
      <c r="B55" s="233">
        <v>3</v>
      </c>
      <c r="C55" s="254" t="s">
        <v>308</v>
      </c>
      <c r="D55" s="250" t="s">
        <v>305</v>
      </c>
      <c r="E55" s="250"/>
      <c r="F55" s="233" t="s">
        <v>162</v>
      </c>
      <c r="G55" s="223">
        <v>0</v>
      </c>
      <c r="H55" s="223">
        <f t="shared" si="31"/>
        <v>0</v>
      </c>
      <c r="I55" s="223">
        <f t="shared" si="32"/>
        <v>0</v>
      </c>
      <c r="J55" s="197"/>
      <c r="K55" s="224">
        <f t="shared" si="33"/>
        <v>606.71728155339747</v>
      </c>
      <c r="L55" s="224">
        <f t="shared" si="34"/>
        <v>50.095922330097039</v>
      </c>
      <c r="M55" s="224">
        <f t="shared" si="35"/>
        <v>556.62135922330049</v>
      </c>
      <c r="N55" s="225">
        <f>N49</f>
        <v>100</v>
      </c>
      <c r="O55" s="225">
        <f>调差材料基价表!E11*1.02</f>
        <v>406.01941747572772</v>
      </c>
      <c r="P55" s="225">
        <f>P49</f>
        <v>0</v>
      </c>
      <c r="Q55" s="225">
        <v>0</v>
      </c>
      <c r="R55" s="226">
        <v>0.1</v>
      </c>
      <c r="S55" s="227">
        <f t="shared" si="36"/>
        <v>50.601941747572774</v>
      </c>
      <c r="T55" s="228" t="s">
        <v>222</v>
      </c>
      <c r="U55" s="248"/>
    </row>
    <row r="56" spans="1:21" ht="31.5" outlineLevel="1">
      <c r="A56" s="233">
        <v>8</v>
      </c>
      <c r="B56" s="233">
        <v>2</v>
      </c>
      <c r="C56" s="254" t="s">
        <v>309</v>
      </c>
      <c r="D56" s="250" t="s">
        <v>263</v>
      </c>
      <c r="E56" s="250" t="s">
        <v>310</v>
      </c>
      <c r="F56" s="233" t="s">
        <v>212</v>
      </c>
      <c r="G56" s="223">
        <v>0</v>
      </c>
      <c r="H56" s="223">
        <f t="shared" si="31"/>
        <v>0</v>
      </c>
      <c r="I56" s="223">
        <f t="shared" si="32"/>
        <v>0</v>
      </c>
      <c r="J56" s="197"/>
      <c r="K56" s="224">
        <f t="shared" si="33"/>
        <v>0</v>
      </c>
      <c r="L56" s="224">
        <f t="shared" si="34"/>
        <v>0</v>
      </c>
      <c r="M56" s="224">
        <f t="shared" si="35"/>
        <v>0</v>
      </c>
      <c r="N56" s="225"/>
      <c r="O56" s="225"/>
      <c r="P56" s="225"/>
      <c r="Q56" s="225"/>
      <c r="R56" s="226">
        <v>0.1</v>
      </c>
      <c r="S56" s="227">
        <f t="shared" si="36"/>
        <v>0</v>
      </c>
      <c r="T56" s="238"/>
      <c r="U56" s="248"/>
    </row>
    <row r="57" spans="1:21" ht="63" outlineLevel="2">
      <c r="A57" s="233"/>
      <c r="B57" s="233">
        <v>3</v>
      </c>
      <c r="C57" s="254" t="s">
        <v>266</v>
      </c>
      <c r="D57" s="250" t="s">
        <v>311</v>
      </c>
      <c r="E57" s="250"/>
      <c r="F57" s="233" t="s">
        <v>312</v>
      </c>
      <c r="G57" s="223">
        <v>0</v>
      </c>
      <c r="H57" s="223">
        <f t="shared" si="31"/>
        <v>0</v>
      </c>
      <c r="I57" s="223">
        <f t="shared" si="32"/>
        <v>0</v>
      </c>
      <c r="J57" s="197"/>
      <c r="K57" s="224">
        <f t="shared" si="33"/>
        <v>7.9014099999999994</v>
      </c>
      <c r="L57" s="224">
        <f t="shared" si="34"/>
        <v>0.65240999999999993</v>
      </c>
      <c r="M57" s="224">
        <f t="shared" si="35"/>
        <v>7.2489999999999997</v>
      </c>
      <c r="N57" s="225">
        <v>1.5</v>
      </c>
      <c r="O57" s="225">
        <v>5.09</v>
      </c>
      <c r="P57" s="225">
        <v>0</v>
      </c>
      <c r="Q57" s="225">
        <v>0</v>
      </c>
      <c r="R57" s="226">
        <v>0.1</v>
      </c>
      <c r="S57" s="227">
        <f t="shared" si="36"/>
        <v>0.65900000000000003</v>
      </c>
      <c r="T57" s="228"/>
      <c r="U57" s="248"/>
    </row>
    <row r="58" spans="1:21" ht="42" outlineLevel="2">
      <c r="A58" s="233"/>
      <c r="B58" s="233">
        <v>3</v>
      </c>
      <c r="C58" s="254" t="s">
        <v>269</v>
      </c>
      <c r="D58" s="250" t="s">
        <v>301</v>
      </c>
      <c r="E58" s="250"/>
      <c r="F58" s="255" t="s">
        <v>172</v>
      </c>
      <c r="G58" s="223">
        <v>0</v>
      </c>
      <c r="H58" s="223">
        <f t="shared" si="31"/>
        <v>0</v>
      </c>
      <c r="I58" s="223">
        <f t="shared" si="32"/>
        <v>0</v>
      </c>
      <c r="J58" s="326"/>
      <c r="K58" s="224">
        <f t="shared" si="33"/>
        <v>25.32996325197864</v>
      </c>
      <c r="L58" s="224">
        <f t="shared" si="34"/>
        <v>2.0914648556679611</v>
      </c>
      <c r="M58" s="224">
        <f t="shared" si="35"/>
        <v>23.238498396310678</v>
      </c>
      <c r="N58" s="225">
        <f>N52</f>
        <v>12</v>
      </c>
      <c r="O58" s="225">
        <f>9.6758*调差材料基价表!E63/1000+调差材料基价表!E64*0.0264</f>
        <v>8.1259076330097066</v>
      </c>
      <c r="P58" s="225">
        <f>P52</f>
        <v>0</v>
      </c>
      <c r="Q58" s="225">
        <f>Q52</f>
        <v>1</v>
      </c>
      <c r="R58" s="226">
        <v>0.1</v>
      </c>
      <c r="S58" s="227">
        <f t="shared" si="36"/>
        <v>2.1125907633009708</v>
      </c>
      <c r="T58" s="252" t="s">
        <v>302</v>
      </c>
      <c r="U58" s="248"/>
    </row>
    <row r="59" spans="1:21" ht="42" outlineLevel="2">
      <c r="A59" s="233"/>
      <c r="B59" s="233">
        <v>3</v>
      </c>
      <c r="C59" s="254" t="s">
        <v>275</v>
      </c>
      <c r="D59" s="256" t="s">
        <v>313</v>
      </c>
      <c r="E59" s="257" t="s">
        <v>314</v>
      </c>
      <c r="F59" s="255" t="s">
        <v>172</v>
      </c>
      <c r="G59" s="223">
        <v>0</v>
      </c>
      <c r="H59" s="223">
        <f t="shared" si="31"/>
        <v>0</v>
      </c>
      <c r="I59" s="223">
        <f t="shared" si="32"/>
        <v>0</v>
      </c>
      <c r="J59" s="326"/>
      <c r="K59" s="224">
        <f t="shared" si="33"/>
        <v>23.21149389452524</v>
      </c>
      <c r="L59" s="224">
        <f t="shared" si="34"/>
        <v>1.9165453674378639</v>
      </c>
      <c r="M59" s="224">
        <f t="shared" si="35"/>
        <v>21.294948527087378</v>
      </c>
      <c r="N59" s="225">
        <v>12</v>
      </c>
      <c r="O59" s="225">
        <f>7.7451*调差材料基价表!E63/1000+调差材料基价表!E64*0.0203</f>
        <v>6.3590441155339796</v>
      </c>
      <c r="P59" s="225"/>
      <c r="Q59" s="225">
        <v>1</v>
      </c>
      <c r="R59" s="226">
        <v>0.1</v>
      </c>
      <c r="S59" s="227">
        <f t="shared" si="36"/>
        <v>1.9359044115533981</v>
      </c>
      <c r="T59" s="252" t="s">
        <v>315</v>
      </c>
      <c r="U59" s="248"/>
    </row>
    <row r="60" spans="1:21" ht="31.5" outlineLevel="2">
      <c r="A60" s="233"/>
      <c r="B60" s="233">
        <v>3</v>
      </c>
      <c r="C60" s="254" t="s">
        <v>278</v>
      </c>
      <c r="D60" s="258" t="s">
        <v>316</v>
      </c>
      <c r="E60" s="257" t="s">
        <v>314</v>
      </c>
      <c r="F60" s="255" t="s">
        <v>172</v>
      </c>
      <c r="G60" s="223">
        <v>0</v>
      </c>
      <c r="H60" s="223">
        <f t="shared" si="31"/>
        <v>0</v>
      </c>
      <c r="I60" s="223">
        <f t="shared" si="32"/>
        <v>0</v>
      </c>
      <c r="J60" s="326"/>
      <c r="K60" s="224">
        <f t="shared" si="33"/>
        <v>16.786000000000001</v>
      </c>
      <c r="L60" s="224">
        <f t="shared" si="34"/>
        <v>1.3859999999999999</v>
      </c>
      <c r="M60" s="224">
        <f t="shared" si="35"/>
        <v>15.4</v>
      </c>
      <c r="N60" s="225">
        <v>8</v>
      </c>
      <c r="O60" s="225">
        <v>5</v>
      </c>
      <c r="P60" s="225">
        <v>1</v>
      </c>
      <c r="Q60" s="249"/>
      <c r="R60" s="226">
        <v>0.1</v>
      </c>
      <c r="S60" s="227">
        <f t="shared" si="36"/>
        <v>1.4000000000000001</v>
      </c>
      <c r="T60" s="228"/>
      <c r="U60" s="248"/>
    </row>
    <row r="61" spans="1:21" ht="63" outlineLevel="2">
      <c r="A61" s="233"/>
      <c r="B61" s="233">
        <v>3</v>
      </c>
      <c r="C61" s="254" t="s">
        <v>278</v>
      </c>
      <c r="D61" s="250" t="s">
        <v>317</v>
      </c>
      <c r="E61" s="250"/>
      <c r="F61" s="233" t="s">
        <v>162</v>
      </c>
      <c r="G61" s="223">
        <v>0</v>
      </c>
      <c r="H61" s="223">
        <f t="shared" si="31"/>
        <v>0</v>
      </c>
      <c r="I61" s="223">
        <f t="shared" si="32"/>
        <v>0</v>
      </c>
      <c r="J61" s="197"/>
      <c r="K61" s="224">
        <f t="shared" si="33"/>
        <v>718.19401553398029</v>
      </c>
      <c r="L61" s="224">
        <f t="shared" si="34"/>
        <v>59.300423300970849</v>
      </c>
      <c r="M61" s="224">
        <f t="shared" si="35"/>
        <v>658.89359223300949</v>
      </c>
      <c r="N61" s="225">
        <f>N54</f>
        <v>250</v>
      </c>
      <c r="O61" s="225">
        <f>O54</f>
        <v>247.92233009708733</v>
      </c>
      <c r="P61" s="225">
        <f>P54</f>
        <v>101.07184466019407</v>
      </c>
      <c r="Q61" s="225">
        <v>0</v>
      </c>
      <c r="R61" s="226">
        <v>0.1</v>
      </c>
      <c r="S61" s="227">
        <f t="shared" si="36"/>
        <v>59.899417475728143</v>
      </c>
      <c r="T61" s="252" t="s">
        <v>289</v>
      </c>
      <c r="U61" s="248"/>
    </row>
    <row r="62" spans="1:21" ht="21" outlineLevel="1">
      <c r="A62" s="233">
        <v>9</v>
      </c>
      <c r="B62" s="233">
        <v>2</v>
      </c>
      <c r="C62" s="254" t="s">
        <v>318</v>
      </c>
      <c r="D62" s="250"/>
      <c r="E62" s="250" t="s">
        <v>319</v>
      </c>
      <c r="F62" s="233"/>
      <c r="G62" s="223">
        <v>0</v>
      </c>
      <c r="H62" s="223">
        <f t="shared" ref="H62:H68" si="37">G62*K62</f>
        <v>0</v>
      </c>
      <c r="I62" s="223">
        <f t="shared" ref="I62:I68" si="38">G62*K62*(1+J62)</f>
        <v>0</v>
      </c>
      <c r="J62" s="197"/>
      <c r="K62" s="224">
        <f t="shared" ref="K62:K68" si="39">L62+M62</f>
        <v>0</v>
      </c>
      <c r="L62" s="224">
        <f t="shared" ref="L62:L73" si="40">M62*0.09</f>
        <v>0</v>
      </c>
      <c r="M62" s="224">
        <f t="shared" ref="M62:M68" si="41">N62+O62+P62+Q62+S62</f>
        <v>0</v>
      </c>
      <c r="N62" s="225"/>
      <c r="O62" s="225"/>
      <c r="P62" s="225"/>
      <c r="Q62" s="225"/>
      <c r="R62" s="226">
        <v>0.1</v>
      </c>
      <c r="S62" s="227">
        <f t="shared" ref="S62:S68" si="42">SUM(N62:Q62)*R62</f>
        <v>0</v>
      </c>
      <c r="T62" s="238"/>
      <c r="U62" s="248"/>
    </row>
    <row r="63" spans="1:21" ht="84" outlineLevel="2">
      <c r="A63" s="233"/>
      <c r="B63" s="233">
        <v>3</v>
      </c>
      <c r="C63" s="254" t="s">
        <v>266</v>
      </c>
      <c r="D63" s="250" t="s">
        <v>320</v>
      </c>
      <c r="E63" s="250"/>
      <c r="F63" s="233" t="s">
        <v>312</v>
      </c>
      <c r="G63" s="223">
        <v>0</v>
      </c>
      <c r="H63" s="223">
        <f t="shared" si="37"/>
        <v>0</v>
      </c>
      <c r="I63" s="223">
        <f t="shared" si="38"/>
        <v>0</v>
      </c>
      <c r="J63" s="197"/>
      <c r="K63" s="224">
        <f t="shared" si="39"/>
        <v>7.9014099999999994</v>
      </c>
      <c r="L63" s="224">
        <f t="shared" si="40"/>
        <v>0.65240999999999993</v>
      </c>
      <c r="M63" s="224">
        <f t="shared" si="41"/>
        <v>7.2489999999999997</v>
      </c>
      <c r="N63" s="225">
        <v>1.5</v>
      </c>
      <c r="O63" s="225">
        <v>5.09</v>
      </c>
      <c r="P63" s="225">
        <v>0</v>
      </c>
      <c r="Q63" s="225">
        <v>0</v>
      </c>
      <c r="R63" s="226">
        <v>0.1</v>
      </c>
      <c r="S63" s="227">
        <f t="shared" si="42"/>
        <v>0.65900000000000003</v>
      </c>
      <c r="T63" s="228"/>
      <c r="U63" s="248"/>
    </row>
    <row r="64" spans="1:21" ht="84" outlineLevel="2">
      <c r="A64" s="233"/>
      <c r="B64" s="233">
        <v>3</v>
      </c>
      <c r="C64" s="254" t="s">
        <v>269</v>
      </c>
      <c r="D64" s="250" t="s">
        <v>321</v>
      </c>
      <c r="E64" s="250"/>
      <c r="F64" s="233" t="s">
        <v>265</v>
      </c>
      <c r="G64" s="223">
        <v>0</v>
      </c>
      <c r="H64" s="223">
        <f t="shared" si="37"/>
        <v>0</v>
      </c>
      <c r="I64" s="223">
        <f t="shared" si="38"/>
        <v>0</v>
      </c>
      <c r="J64" s="197"/>
      <c r="K64" s="224">
        <f t="shared" si="39"/>
        <v>161.86500000000001</v>
      </c>
      <c r="L64" s="224">
        <f t="shared" si="40"/>
        <v>13.365</v>
      </c>
      <c r="M64" s="224">
        <f t="shared" si="41"/>
        <v>148.5</v>
      </c>
      <c r="N64" s="225">
        <v>40</v>
      </c>
      <c r="O64" s="225">
        <v>95</v>
      </c>
      <c r="P64" s="225">
        <v>0</v>
      </c>
      <c r="Q64" s="225">
        <v>0</v>
      </c>
      <c r="R64" s="226">
        <v>0.1</v>
      </c>
      <c r="S64" s="227">
        <f t="shared" si="42"/>
        <v>13.5</v>
      </c>
      <c r="T64" s="228"/>
      <c r="U64" s="248"/>
    </row>
    <row r="65" spans="1:21" ht="42" outlineLevel="1">
      <c r="A65" s="233">
        <v>10</v>
      </c>
      <c r="B65" s="233">
        <v>2</v>
      </c>
      <c r="C65" s="254" t="s">
        <v>322</v>
      </c>
      <c r="D65" s="250" t="s">
        <v>263</v>
      </c>
      <c r="E65" s="250" t="s">
        <v>323</v>
      </c>
      <c r="F65" s="233" t="s">
        <v>265</v>
      </c>
      <c r="G65" s="223">
        <v>8.3000000000000007</v>
      </c>
      <c r="H65" s="223">
        <f t="shared" si="37"/>
        <v>0</v>
      </c>
      <c r="I65" s="223">
        <f t="shared" si="38"/>
        <v>0</v>
      </c>
      <c r="J65" s="197"/>
      <c r="K65" s="224">
        <f t="shared" si="39"/>
        <v>0</v>
      </c>
      <c r="L65" s="224">
        <f t="shared" si="40"/>
        <v>0</v>
      </c>
      <c r="M65" s="224">
        <f t="shared" si="41"/>
        <v>0</v>
      </c>
      <c r="N65" s="225"/>
      <c r="O65" s="225"/>
      <c r="P65" s="225"/>
      <c r="Q65" s="225"/>
      <c r="R65" s="226">
        <v>0.1</v>
      </c>
      <c r="S65" s="227">
        <f t="shared" si="42"/>
        <v>0</v>
      </c>
      <c r="T65" s="238"/>
      <c r="U65" s="248"/>
    </row>
    <row r="66" spans="1:21" ht="52.5" outlineLevel="2">
      <c r="A66" s="233"/>
      <c r="B66" s="233">
        <v>3</v>
      </c>
      <c r="C66" s="254" t="s">
        <v>266</v>
      </c>
      <c r="D66" s="250" t="s">
        <v>2017</v>
      </c>
      <c r="E66" s="250"/>
      <c r="F66" s="233" t="s">
        <v>265</v>
      </c>
      <c r="G66" s="223">
        <v>22.7</v>
      </c>
      <c r="H66" s="223">
        <f t="shared" si="37"/>
        <v>564.74865774073146</v>
      </c>
      <c r="I66" s="223">
        <f t="shared" si="38"/>
        <v>564.74865774073146</v>
      </c>
      <c r="J66" s="197"/>
      <c r="K66" s="224">
        <f t="shared" si="39"/>
        <v>24.878795495186409</v>
      </c>
      <c r="L66" s="224">
        <f t="shared" si="40"/>
        <v>2.0542124720796116</v>
      </c>
      <c r="M66" s="224">
        <f t="shared" si="41"/>
        <v>22.824583023106797</v>
      </c>
      <c r="N66" s="225">
        <v>12</v>
      </c>
      <c r="O66" s="225">
        <f>8.3022*调差材料基价表!E63/1000+调差材料基价表!E64*0.0271</f>
        <v>7.7496209300970857</v>
      </c>
      <c r="P66" s="225"/>
      <c r="Q66" s="225">
        <v>1</v>
      </c>
      <c r="R66" s="226">
        <v>0.1</v>
      </c>
      <c r="S66" s="227">
        <f t="shared" si="42"/>
        <v>2.074962093009709</v>
      </c>
      <c r="T66" s="252" t="s">
        <v>324</v>
      </c>
      <c r="U66" s="248"/>
    </row>
    <row r="67" spans="1:21" ht="63" outlineLevel="2">
      <c r="A67" s="233"/>
      <c r="B67" s="233">
        <v>3</v>
      </c>
      <c r="C67" s="254" t="s">
        <v>269</v>
      </c>
      <c r="D67" s="250" t="s">
        <v>325</v>
      </c>
      <c r="E67" s="250"/>
      <c r="F67" s="233" t="s">
        <v>162</v>
      </c>
      <c r="G67" s="223">
        <v>4.9800000000000004</v>
      </c>
      <c r="H67" s="223">
        <f t="shared" si="37"/>
        <v>3576.6061973592223</v>
      </c>
      <c r="I67" s="223">
        <f t="shared" si="38"/>
        <v>3576.6061973592223</v>
      </c>
      <c r="J67" s="197"/>
      <c r="K67" s="224">
        <f t="shared" si="39"/>
        <v>718.19401553398029</v>
      </c>
      <c r="L67" s="224">
        <f t="shared" si="40"/>
        <v>59.300423300970849</v>
      </c>
      <c r="M67" s="224">
        <f t="shared" si="41"/>
        <v>658.89359223300949</v>
      </c>
      <c r="N67" s="225">
        <v>250</v>
      </c>
      <c r="O67" s="225">
        <f>O61</f>
        <v>247.92233009708733</v>
      </c>
      <c r="P67" s="225">
        <f>P61</f>
        <v>101.07184466019407</v>
      </c>
      <c r="Q67" s="225">
        <v>0</v>
      </c>
      <c r="R67" s="226">
        <v>0.1</v>
      </c>
      <c r="S67" s="227">
        <f t="shared" si="42"/>
        <v>59.899417475728143</v>
      </c>
      <c r="T67" s="252" t="s">
        <v>289</v>
      </c>
      <c r="U67" s="248"/>
    </row>
    <row r="68" spans="1:21" ht="21" outlineLevel="2">
      <c r="A68" s="233"/>
      <c r="B68" s="233">
        <v>3</v>
      </c>
      <c r="C68" s="254" t="s">
        <v>275</v>
      </c>
      <c r="D68" s="250" t="s">
        <v>2018</v>
      </c>
      <c r="E68" s="250"/>
      <c r="F68" s="233" t="s">
        <v>162</v>
      </c>
      <c r="G68" s="223">
        <v>0.83</v>
      </c>
      <c r="H68" s="223">
        <f t="shared" si="37"/>
        <v>503.57534368931988</v>
      </c>
      <c r="I68" s="223">
        <f t="shared" si="38"/>
        <v>503.57534368931988</v>
      </c>
      <c r="J68" s="197"/>
      <c r="K68" s="224">
        <f t="shared" si="39"/>
        <v>606.71728155339747</v>
      </c>
      <c r="L68" s="224">
        <f t="shared" si="40"/>
        <v>50.095922330097039</v>
      </c>
      <c r="M68" s="224">
        <f t="shared" si="41"/>
        <v>556.62135922330049</v>
      </c>
      <c r="N68" s="225">
        <f>N55</f>
        <v>100</v>
      </c>
      <c r="O68" s="225">
        <f>调差材料基价表!E11*1.02</f>
        <v>406.01941747572772</v>
      </c>
      <c r="P68" s="225">
        <f>P55</f>
        <v>0</v>
      </c>
      <c r="Q68" s="225">
        <v>0</v>
      </c>
      <c r="R68" s="226">
        <v>0.1</v>
      </c>
      <c r="S68" s="227">
        <f t="shared" si="42"/>
        <v>50.601941747572774</v>
      </c>
      <c r="T68" s="228" t="s">
        <v>222</v>
      </c>
      <c r="U68" s="248"/>
    </row>
    <row r="69" spans="1:21" outlineLevel="2">
      <c r="A69" s="233"/>
      <c r="B69" s="233">
        <v>3</v>
      </c>
      <c r="C69" s="254" t="s">
        <v>278</v>
      </c>
      <c r="D69" s="250" t="s">
        <v>326</v>
      </c>
      <c r="E69" s="250"/>
      <c r="F69" s="233" t="s">
        <v>265</v>
      </c>
      <c r="G69" s="223">
        <v>8.3000000000000007</v>
      </c>
      <c r="H69" s="223">
        <f t="shared" ref="H69:H74" si="43">G69*K69</f>
        <v>4.9758500000000003</v>
      </c>
      <c r="I69" s="223">
        <f t="shared" ref="I69:I74" si="44">G69*K69*(1+J69)</f>
        <v>4.9758500000000003</v>
      </c>
      <c r="J69" s="197"/>
      <c r="K69" s="224">
        <f t="shared" ref="K69:K73" si="45">L69+M69</f>
        <v>0.59950000000000003</v>
      </c>
      <c r="L69" s="224">
        <f t="shared" si="40"/>
        <v>4.9500000000000002E-2</v>
      </c>
      <c r="M69" s="224">
        <f t="shared" ref="M69:M73" si="46">N69+O69+P69+Q69+S69</f>
        <v>0.55000000000000004</v>
      </c>
      <c r="N69" s="225">
        <v>0.5</v>
      </c>
      <c r="O69" s="225"/>
      <c r="P69" s="225"/>
      <c r="Q69" s="225"/>
      <c r="R69" s="226">
        <v>0.1</v>
      </c>
      <c r="S69" s="227">
        <f t="shared" ref="S69:S73" si="47">SUM(N69:Q69)*R69</f>
        <v>0.05</v>
      </c>
      <c r="T69" s="228"/>
      <c r="U69" s="248"/>
    </row>
    <row r="70" spans="1:21" ht="52.5" outlineLevel="1">
      <c r="A70" s="233">
        <v>11</v>
      </c>
      <c r="B70" s="233">
        <v>2</v>
      </c>
      <c r="C70" s="254" t="s">
        <v>327</v>
      </c>
      <c r="D70" s="250" t="s">
        <v>263</v>
      </c>
      <c r="E70" s="250" t="s">
        <v>328</v>
      </c>
      <c r="F70" s="233" t="s">
        <v>265</v>
      </c>
      <c r="G70" s="223">
        <v>0</v>
      </c>
      <c r="H70" s="223">
        <f t="shared" si="43"/>
        <v>0</v>
      </c>
      <c r="I70" s="223">
        <f t="shared" si="44"/>
        <v>0</v>
      </c>
      <c r="J70" s="197"/>
      <c r="K70" s="224">
        <f t="shared" si="45"/>
        <v>0</v>
      </c>
      <c r="L70" s="224">
        <f t="shared" si="40"/>
        <v>0</v>
      </c>
      <c r="M70" s="224">
        <f t="shared" si="46"/>
        <v>0</v>
      </c>
      <c r="N70" s="225"/>
      <c r="O70" s="225"/>
      <c r="P70" s="225"/>
      <c r="Q70" s="225"/>
      <c r="R70" s="226">
        <v>0.1</v>
      </c>
      <c r="S70" s="227">
        <f t="shared" si="47"/>
        <v>0</v>
      </c>
      <c r="T70" s="238"/>
      <c r="U70" s="248"/>
    </row>
    <row r="71" spans="1:21" ht="52.5" outlineLevel="2">
      <c r="A71" s="233"/>
      <c r="B71" s="233">
        <v>3</v>
      </c>
      <c r="C71" s="254" t="s">
        <v>266</v>
      </c>
      <c r="D71" s="250" t="s">
        <v>2017</v>
      </c>
      <c r="E71" s="250"/>
      <c r="F71" s="233" t="s">
        <v>265</v>
      </c>
      <c r="G71" s="223">
        <v>0</v>
      </c>
      <c r="H71" s="223">
        <f t="shared" si="43"/>
        <v>0</v>
      </c>
      <c r="I71" s="223">
        <f t="shared" si="44"/>
        <v>0</v>
      </c>
      <c r="J71" s="197"/>
      <c r="K71" s="224">
        <f t="shared" si="45"/>
        <v>24.878795495186409</v>
      </c>
      <c r="L71" s="224">
        <f t="shared" si="40"/>
        <v>2.0542124720796116</v>
      </c>
      <c r="M71" s="224">
        <f t="shared" si="46"/>
        <v>22.824583023106797</v>
      </c>
      <c r="N71" s="225">
        <f>N66</f>
        <v>12</v>
      </c>
      <c r="O71" s="225">
        <f>8.3022*调差材料基价表!E63/1000+调差材料基价表!E64*0.0271</f>
        <v>7.7496209300970857</v>
      </c>
      <c r="P71" s="225">
        <f>P66</f>
        <v>0</v>
      </c>
      <c r="Q71" s="225">
        <f>Q66</f>
        <v>1</v>
      </c>
      <c r="R71" s="226">
        <v>0.1</v>
      </c>
      <c r="S71" s="227">
        <f t="shared" si="47"/>
        <v>2.074962093009709</v>
      </c>
      <c r="T71" s="252" t="s">
        <v>324</v>
      </c>
      <c r="U71" s="248"/>
    </row>
    <row r="72" spans="1:21" ht="21" outlineLevel="2">
      <c r="A72" s="233"/>
      <c r="B72" s="233">
        <v>3</v>
      </c>
      <c r="C72" s="254" t="s">
        <v>269</v>
      </c>
      <c r="D72" s="250" t="s">
        <v>329</v>
      </c>
      <c r="E72" s="250"/>
      <c r="F72" s="233" t="s">
        <v>162</v>
      </c>
      <c r="G72" s="223">
        <v>0</v>
      </c>
      <c r="H72" s="223">
        <f t="shared" si="43"/>
        <v>0</v>
      </c>
      <c r="I72" s="223">
        <f t="shared" si="44"/>
        <v>0</v>
      </c>
      <c r="J72" s="197"/>
      <c r="K72" s="224">
        <f t="shared" si="45"/>
        <v>720.62228155339767</v>
      </c>
      <c r="L72" s="224">
        <f t="shared" si="40"/>
        <v>59.500922330097055</v>
      </c>
      <c r="M72" s="224">
        <f t="shared" si="46"/>
        <v>661.1213592233006</v>
      </c>
      <c r="N72" s="225">
        <v>195</v>
      </c>
      <c r="O72" s="225">
        <f>调差材料基价表!E12*1.02</f>
        <v>406.01941747572772</v>
      </c>
      <c r="P72" s="225">
        <f>P58</f>
        <v>0</v>
      </c>
      <c r="Q72" s="225">
        <v>0</v>
      </c>
      <c r="R72" s="226">
        <v>0.1</v>
      </c>
      <c r="S72" s="227">
        <f t="shared" si="47"/>
        <v>60.101941747572781</v>
      </c>
      <c r="T72" s="228" t="s">
        <v>222</v>
      </c>
      <c r="U72" s="248"/>
    </row>
    <row r="73" spans="1:21" ht="21" outlineLevel="2">
      <c r="A73" s="233"/>
      <c r="B73" s="233">
        <v>3</v>
      </c>
      <c r="C73" s="254" t="s">
        <v>275</v>
      </c>
      <c r="D73" s="250" t="s">
        <v>2018</v>
      </c>
      <c r="E73" s="250"/>
      <c r="F73" s="233" t="s">
        <v>162</v>
      </c>
      <c r="G73" s="223">
        <v>0</v>
      </c>
      <c r="H73" s="223">
        <f t="shared" si="43"/>
        <v>0</v>
      </c>
      <c r="I73" s="223">
        <f t="shared" si="44"/>
        <v>0</v>
      </c>
      <c r="J73" s="197"/>
      <c r="K73" s="224">
        <f t="shared" si="45"/>
        <v>606.71728155339747</v>
      </c>
      <c r="L73" s="224">
        <f t="shared" si="40"/>
        <v>50.095922330097039</v>
      </c>
      <c r="M73" s="224">
        <f t="shared" si="46"/>
        <v>556.62135922330049</v>
      </c>
      <c r="N73" s="225">
        <v>100</v>
      </c>
      <c r="O73" s="225">
        <f>调差材料基价表!E11*1.02</f>
        <v>406.01941747572772</v>
      </c>
      <c r="P73" s="225"/>
      <c r="Q73" s="225">
        <v>0</v>
      </c>
      <c r="R73" s="226">
        <v>0.1</v>
      </c>
      <c r="S73" s="227">
        <f t="shared" si="47"/>
        <v>50.601941747572774</v>
      </c>
      <c r="T73" s="228" t="s">
        <v>222</v>
      </c>
      <c r="U73" s="248"/>
    </row>
    <row r="74" spans="1:21" outlineLevel="2">
      <c r="A74" s="233"/>
      <c r="B74" s="233">
        <v>3</v>
      </c>
      <c r="C74" s="254" t="s">
        <v>278</v>
      </c>
      <c r="D74" s="250" t="s">
        <v>326</v>
      </c>
      <c r="E74" s="250"/>
      <c r="F74" s="233" t="s">
        <v>265</v>
      </c>
      <c r="G74" s="223">
        <v>0</v>
      </c>
      <c r="H74" s="223">
        <f t="shared" si="43"/>
        <v>0</v>
      </c>
      <c r="I74" s="223">
        <f t="shared" si="44"/>
        <v>0</v>
      </c>
      <c r="J74" s="197"/>
      <c r="K74" s="224">
        <f t="shared" ref="K74" si="48">L74+M74</f>
        <v>0.59950000000000003</v>
      </c>
      <c r="L74" s="224">
        <f t="shared" ref="L74" si="49">M74*0.09</f>
        <v>4.9500000000000002E-2</v>
      </c>
      <c r="M74" s="224">
        <f t="shared" ref="M74" si="50">N74+O74+P74+Q74+S74</f>
        <v>0.55000000000000004</v>
      </c>
      <c r="N74" s="225">
        <v>0.5</v>
      </c>
      <c r="O74" s="225"/>
      <c r="P74" s="225"/>
      <c r="Q74" s="225"/>
      <c r="R74" s="226">
        <v>0.1</v>
      </c>
      <c r="S74" s="227">
        <f t="shared" ref="S74" si="51">SUM(N74:Q74)*R74</f>
        <v>0.05</v>
      </c>
      <c r="T74" s="228"/>
      <c r="U74" s="248"/>
    </row>
    <row r="75" spans="1:21">
      <c r="A75" s="209"/>
      <c r="B75" s="209"/>
      <c r="C75" s="210" t="s">
        <v>248</v>
      </c>
      <c r="D75" s="222"/>
      <c r="E75" s="222"/>
      <c r="F75" s="221"/>
      <c r="G75" s="223">
        <v>0</v>
      </c>
      <c r="H75" s="212">
        <f>SUM(H20:H74)</f>
        <v>16823.655708983439</v>
      </c>
      <c r="I75" s="212">
        <f>SUM(I20:I74)</f>
        <v>16823.655708983439</v>
      </c>
      <c r="J75" s="226"/>
      <c r="K75" s="224"/>
      <c r="L75" s="224"/>
      <c r="M75" s="224"/>
      <c r="N75" s="225"/>
      <c r="O75" s="225"/>
      <c r="P75" s="225"/>
      <c r="Q75" s="225"/>
      <c r="R75" s="226"/>
      <c r="S75" s="227"/>
      <c r="T75" s="245"/>
      <c r="U75" s="246"/>
    </row>
    <row r="76" spans="1:21" ht="21">
      <c r="A76" s="209" t="s">
        <v>74</v>
      </c>
      <c r="B76" s="209">
        <v>1</v>
      </c>
      <c r="C76" s="210" t="s">
        <v>330</v>
      </c>
      <c r="D76" s="211"/>
      <c r="E76" s="209"/>
      <c r="F76" s="221"/>
      <c r="G76" s="223">
        <v>0</v>
      </c>
      <c r="H76" s="223"/>
      <c r="I76" s="223"/>
      <c r="J76" s="226"/>
      <c r="K76" s="224">
        <f t="shared" ref="K76:K98" si="52">L76+M76</f>
        <v>0</v>
      </c>
      <c r="L76" s="224">
        <f t="shared" ref="L76:L98" si="53">M76*0.09</f>
        <v>0</v>
      </c>
      <c r="M76" s="224">
        <f t="shared" ref="M76:M98" si="54">N76+O76+P76+Q76+S76</f>
        <v>0</v>
      </c>
      <c r="N76" s="225"/>
      <c r="O76" s="225"/>
      <c r="P76" s="225"/>
      <c r="Q76" s="225"/>
      <c r="R76" s="226">
        <v>0.1</v>
      </c>
      <c r="S76" s="227">
        <f t="shared" ref="S76:S98" si="55">SUM(N76:Q76)*R76</f>
        <v>0</v>
      </c>
      <c r="T76" s="228"/>
      <c r="U76" s="220"/>
    </row>
    <row r="77" spans="1:21" ht="126" outlineLevel="1">
      <c r="A77" s="233">
        <v>1</v>
      </c>
      <c r="B77" s="233">
        <v>2</v>
      </c>
      <c r="C77" s="259" t="s">
        <v>331</v>
      </c>
      <c r="D77" s="260" t="s">
        <v>332</v>
      </c>
      <c r="E77" s="250" t="s">
        <v>333</v>
      </c>
      <c r="F77" s="233" t="s">
        <v>162</v>
      </c>
      <c r="G77" s="223">
        <v>0</v>
      </c>
      <c r="H77" s="223">
        <f>G77*K77</f>
        <v>0</v>
      </c>
      <c r="I77" s="223">
        <f>G77*K77*(1+J77)</f>
        <v>0</v>
      </c>
      <c r="J77" s="197"/>
      <c r="K77" s="224">
        <f t="shared" si="52"/>
        <v>577.31334194856311</v>
      </c>
      <c r="L77" s="224">
        <f t="shared" si="53"/>
        <v>47.66807410584466</v>
      </c>
      <c r="M77" s="224">
        <f t="shared" si="54"/>
        <v>529.64526784271845</v>
      </c>
      <c r="N77" s="225">
        <v>230</v>
      </c>
      <c r="O77" s="225">
        <f>0.648*调差材料基价表!E23+0.216*调差材料基价表!E29</f>
        <v>213.90291262135918</v>
      </c>
      <c r="P77" s="225">
        <f>44.082*调差材料基价表!E63/1000+调差材料基价表!E64*0.2018+2.5*调差材料基价表!E4/1000+0.45-23</f>
        <v>37.592785417475724</v>
      </c>
      <c r="Q77" s="225">
        <v>0</v>
      </c>
      <c r="R77" s="226">
        <v>0.1</v>
      </c>
      <c r="S77" s="227">
        <f t="shared" si="55"/>
        <v>48.149569803883495</v>
      </c>
      <c r="T77" s="238" t="s">
        <v>334</v>
      </c>
      <c r="U77" s="220"/>
    </row>
    <row r="78" spans="1:21" ht="136.5" outlineLevel="1">
      <c r="A78" s="233">
        <v>2</v>
      </c>
      <c r="B78" s="233">
        <v>2</v>
      </c>
      <c r="C78" s="261" t="s">
        <v>331</v>
      </c>
      <c r="D78" s="262" t="s">
        <v>335</v>
      </c>
      <c r="E78" s="263" t="s">
        <v>333</v>
      </c>
      <c r="F78" s="263" t="s">
        <v>162</v>
      </c>
      <c r="G78" s="223">
        <v>0</v>
      </c>
      <c r="H78" s="223">
        <f t="shared" ref="H78:H100" si="56">G78*K78</f>
        <v>0</v>
      </c>
      <c r="I78" s="223">
        <f t="shared" ref="I78:I100" si="57">G78*K78*(1+J78)</f>
        <v>0</v>
      </c>
      <c r="J78" s="197"/>
      <c r="K78" s="224">
        <f t="shared" si="52"/>
        <v>604.8903419485631</v>
      </c>
      <c r="L78" s="224">
        <f t="shared" si="53"/>
        <v>49.945074105844654</v>
      </c>
      <c r="M78" s="224">
        <f t="shared" si="54"/>
        <v>554.94526784271841</v>
      </c>
      <c r="N78" s="225">
        <v>230</v>
      </c>
      <c r="O78" s="225">
        <f>0.648*调差材料基价表!E23+0.216*调差材料基价表!E29</f>
        <v>213.90291262135918</v>
      </c>
      <c r="P78" s="225">
        <f>44.082*调差材料基价表!E63/1000+调差材料基价表!E64*0.2018+2.5*调差材料基价表!E4/1000+0.45</f>
        <v>60.592785417475724</v>
      </c>
      <c r="Q78" s="225">
        <v>0</v>
      </c>
      <c r="R78" s="226">
        <v>0.1</v>
      </c>
      <c r="S78" s="227">
        <f t="shared" si="55"/>
        <v>50.449569803883492</v>
      </c>
      <c r="T78" s="238" t="s">
        <v>336</v>
      </c>
      <c r="U78" s="220"/>
    </row>
    <row r="79" spans="1:21" ht="136.5" outlineLevel="1">
      <c r="A79" s="233">
        <v>3</v>
      </c>
      <c r="B79" s="233">
        <v>2</v>
      </c>
      <c r="C79" s="250" t="s">
        <v>337</v>
      </c>
      <c r="D79" s="260" t="s">
        <v>2019</v>
      </c>
      <c r="E79" s="250" t="s">
        <v>333</v>
      </c>
      <c r="F79" s="233" t="s">
        <v>162</v>
      </c>
      <c r="G79" s="223">
        <v>311.25188794108601</v>
      </c>
      <c r="H79" s="223">
        <f t="shared" si="56"/>
        <v>194958.2795565124</v>
      </c>
      <c r="I79" s="223">
        <f t="shared" si="57"/>
        <v>194958.2795565124</v>
      </c>
      <c r="J79" s="197"/>
      <c r="K79" s="224">
        <f t="shared" si="52"/>
        <v>626.36818316557242</v>
      </c>
      <c r="L79" s="224">
        <f t="shared" si="53"/>
        <v>51.718473839359191</v>
      </c>
      <c r="M79" s="224">
        <f t="shared" si="54"/>
        <v>574.64970932621327</v>
      </c>
      <c r="N79" s="225">
        <v>230</v>
      </c>
      <c r="O79" s="225">
        <f>0.81*调差材料基价表!E26+调差材料基价表!E29*0.054</f>
        <v>253.22330097087348</v>
      </c>
      <c r="P79" s="225">
        <f>46.314*调差材料基价表!E63/1000+调差材料基价表!E64*0.212+2.5*调差材料基价表!E4/1000+0.45-24</f>
        <v>39.185525689320379</v>
      </c>
      <c r="Q79" s="225">
        <v>0</v>
      </c>
      <c r="R79" s="226">
        <v>0.1</v>
      </c>
      <c r="S79" s="227">
        <f t="shared" si="55"/>
        <v>52.240882666019388</v>
      </c>
      <c r="T79" s="228" t="s">
        <v>2085</v>
      </c>
      <c r="U79" s="264"/>
    </row>
    <row r="80" spans="1:21" ht="136.5" outlineLevel="1">
      <c r="A80" s="221">
        <v>4</v>
      </c>
      <c r="B80" s="221">
        <v>3</v>
      </c>
      <c r="C80" s="222" t="s">
        <v>337</v>
      </c>
      <c r="D80" s="230" t="s">
        <v>338</v>
      </c>
      <c r="E80" s="222" t="s">
        <v>333</v>
      </c>
      <c r="F80" s="221" t="s">
        <v>162</v>
      </c>
      <c r="G80" s="223">
        <v>0</v>
      </c>
      <c r="H80" s="223">
        <f t="shared" si="56"/>
        <v>0</v>
      </c>
      <c r="I80" s="223">
        <f t="shared" si="57"/>
        <v>0</v>
      </c>
      <c r="J80" s="197"/>
      <c r="K80" s="224">
        <f t="shared" si="52"/>
        <v>655.14418316557249</v>
      </c>
      <c r="L80" s="224">
        <f t="shared" si="53"/>
        <v>54.094473839359189</v>
      </c>
      <c r="M80" s="224">
        <f t="shared" si="54"/>
        <v>601.04970932621325</v>
      </c>
      <c r="N80" s="225">
        <v>230</v>
      </c>
      <c r="O80" s="225">
        <f>0.81*调差材料基价表!E26+调差材料基价表!E29*0.054</f>
        <v>253.22330097087348</v>
      </c>
      <c r="P80" s="225">
        <f>46.314*调差材料基价表!E63/1000+调差材料基价表!E64*0.212+2.5*调差材料基价表!E4/1000+0.45</f>
        <v>63.185525689320379</v>
      </c>
      <c r="Q80" s="225">
        <v>0</v>
      </c>
      <c r="R80" s="226">
        <v>0.1</v>
      </c>
      <c r="S80" s="227">
        <f t="shared" si="55"/>
        <v>54.640882666019394</v>
      </c>
      <c r="T80" s="228" t="s">
        <v>339</v>
      </c>
      <c r="U80" s="264"/>
    </row>
    <row r="81" spans="1:21" ht="126" outlineLevel="1">
      <c r="A81" s="221">
        <v>5</v>
      </c>
      <c r="B81" s="221">
        <v>2</v>
      </c>
      <c r="C81" s="222" t="s">
        <v>340</v>
      </c>
      <c r="D81" s="230" t="s">
        <v>341</v>
      </c>
      <c r="E81" s="222" t="s">
        <v>333</v>
      </c>
      <c r="F81" s="221" t="s">
        <v>162</v>
      </c>
      <c r="G81" s="223">
        <v>0</v>
      </c>
      <c r="H81" s="223">
        <f t="shared" si="56"/>
        <v>0</v>
      </c>
      <c r="I81" s="223">
        <f t="shared" si="57"/>
        <v>0</v>
      </c>
      <c r="J81" s="197"/>
      <c r="K81" s="224">
        <f t="shared" si="52"/>
        <v>607.48623515244685</v>
      </c>
      <c r="L81" s="224">
        <f t="shared" si="53"/>
        <v>50.159413911669915</v>
      </c>
      <c r="M81" s="224">
        <f t="shared" si="54"/>
        <v>557.32682124077689</v>
      </c>
      <c r="N81" s="225">
        <v>230</v>
      </c>
      <c r="O81" s="225">
        <f>0.648*调差材料基价表!E24+0.216*调差材料基价表!E29</f>
        <v>239.0679611650487</v>
      </c>
      <c r="P81" s="225">
        <f>44.082*调差材料基价表!E63/1000+调差材料基价表!E64*0.2018+2.5*调差材料基价表!E4/1000+0.45-23</f>
        <v>37.592785417475724</v>
      </c>
      <c r="Q81" s="225">
        <v>0</v>
      </c>
      <c r="R81" s="226">
        <v>0.1</v>
      </c>
      <c r="S81" s="227">
        <f t="shared" si="55"/>
        <v>50.666074658252448</v>
      </c>
      <c r="T81" s="238" t="s">
        <v>334</v>
      </c>
      <c r="U81" s="220"/>
    </row>
    <row r="82" spans="1:21" ht="136.5" outlineLevel="1">
      <c r="A82" s="221">
        <v>6</v>
      </c>
      <c r="B82" s="221">
        <v>2</v>
      </c>
      <c r="C82" s="265" t="s">
        <v>340</v>
      </c>
      <c r="D82" s="266" t="s">
        <v>342</v>
      </c>
      <c r="E82" s="267" t="s">
        <v>333</v>
      </c>
      <c r="F82" s="267" t="s">
        <v>162</v>
      </c>
      <c r="G82" s="223">
        <v>0</v>
      </c>
      <c r="H82" s="223">
        <f t="shared" si="56"/>
        <v>0</v>
      </c>
      <c r="I82" s="223">
        <f t="shared" si="57"/>
        <v>0</v>
      </c>
      <c r="J82" s="197"/>
      <c r="K82" s="224">
        <f t="shared" si="52"/>
        <v>635.06323515244674</v>
      </c>
      <c r="L82" s="224">
        <f t="shared" si="53"/>
        <v>52.436413911669916</v>
      </c>
      <c r="M82" s="224">
        <f t="shared" si="54"/>
        <v>582.62682124077685</v>
      </c>
      <c r="N82" s="225">
        <v>230</v>
      </c>
      <c r="O82" s="225">
        <f>0.648*调差材料基价表!E24+0.216*调差材料基价表!E29</f>
        <v>239.0679611650487</v>
      </c>
      <c r="P82" s="225">
        <f>44.082*调差材料基价表!E63/1000+调差材料基价表!E64*0.2018+2.5*调差材料基价表!E4/1000+0.45</f>
        <v>60.592785417475724</v>
      </c>
      <c r="Q82" s="225">
        <v>0</v>
      </c>
      <c r="R82" s="226">
        <v>0.1</v>
      </c>
      <c r="S82" s="227">
        <f t="shared" si="55"/>
        <v>52.966074658252445</v>
      </c>
      <c r="T82" s="238" t="s">
        <v>336</v>
      </c>
      <c r="U82" s="220"/>
    </row>
    <row r="83" spans="1:21" ht="126" outlineLevel="1">
      <c r="A83" s="221">
        <v>7</v>
      </c>
      <c r="B83" s="221">
        <v>2</v>
      </c>
      <c r="C83" s="222" t="s">
        <v>343</v>
      </c>
      <c r="D83" s="230" t="s">
        <v>344</v>
      </c>
      <c r="E83" s="222" t="s">
        <v>333</v>
      </c>
      <c r="F83" s="221" t="s">
        <v>162</v>
      </c>
      <c r="G83" s="223">
        <v>0</v>
      </c>
      <c r="H83" s="223">
        <f t="shared" si="56"/>
        <v>0</v>
      </c>
      <c r="I83" s="223">
        <f t="shared" si="57"/>
        <v>0</v>
      </c>
      <c r="J83" s="197"/>
      <c r="K83" s="224">
        <f t="shared" si="52"/>
        <v>633.88751670584497</v>
      </c>
      <c r="L83" s="224">
        <f t="shared" si="53"/>
        <v>52.339336241767015</v>
      </c>
      <c r="M83" s="224">
        <f t="shared" si="54"/>
        <v>581.54818046407797</v>
      </c>
      <c r="N83" s="225">
        <v>230</v>
      </c>
      <c r="O83" s="225">
        <f>0.648*调差材料基价表!E25+0.216*调差材料基价表!E29</f>
        <v>261.08737864077693</v>
      </c>
      <c r="P83" s="225">
        <f>44.082*调差材料基价表!E63/1000+调差材料基价表!E64*0.2018+2.5*调差材料基价表!E4/1000+0.45-23</f>
        <v>37.592785417475724</v>
      </c>
      <c r="Q83" s="225">
        <v>0</v>
      </c>
      <c r="R83" s="226">
        <v>0.1</v>
      </c>
      <c r="S83" s="227">
        <f t="shared" si="55"/>
        <v>52.868016405825273</v>
      </c>
      <c r="T83" s="238" t="s">
        <v>334</v>
      </c>
      <c r="U83" s="220"/>
    </row>
    <row r="84" spans="1:21" ht="136.5" outlineLevel="1">
      <c r="A84" s="221">
        <v>8</v>
      </c>
      <c r="B84" s="221">
        <v>2</v>
      </c>
      <c r="C84" s="265" t="s">
        <v>343</v>
      </c>
      <c r="D84" s="266" t="s">
        <v>345</v>
      </c>
      <c r="E84" s="267" t="s">
        <v>333</v>
      </c>
      <c r="F84" s="267" t="s">
        <v>162</v>
      </c>
      <c r="G84" s="223">
        <v>0</v>
      </c>
      <c r="H84" s="223">
        <f t="shared" si="56"/>
        <v>0</v>
      </c>
      <c r="I84" s="223">
        <f t="shared" si="57"/>
        <v>0</v>
      </c>
      <c r="J84" s="197"/>
      <c r="K84" s="224">
        <f t="shared" si="52"/>
        <v>661.46451670584497</v>
      </c>
      <c r="L84" s="224">
        <f t="shared" si="53"/>
        <v>54.616336241767009</v>
      </c>
      <c r="M84" s="224">
        <f t="shared" si="54"/>
        <v>606.84818046407793</v>
      </c>
      <c r="N84" s="225">
        <v>230</v>
      </c>
      <c r="O84" s="225">
        <f>0.648*调差材料基价表!E25+0.216*调差材料基价表!E29</f>
        <v>261.08737864077693</v>
      </c>
      <c r="P84" s="225">
        <f>44.082*调差材料基价表!E63/1000+调差材料基价表!E64*0.2018+2.5*调差材料基价表!E4/1000+0.45</f>
        <v>60.592785417475724</v>
      </c>
      <c r="Q84" s="225">
        <v>0</v>
      </c>
      <c r="R84" s="226">
        <v>0.1</v>
      </c>
      <c r="S84" s="227">
        <f t="shared" si="55"/>
        <v>55.16801640582527</v>
      </c>
      <c r="T84" s="238" t="s">
        <v>336</v>
      </c>
      <c r="U84" s="220"/>
    </row>
    <row r="85" spans="1:21" ht="105" outlineLevel="1">
      <c r="A85" s="221">
        <v>9</v>
      </c>
      <c r="B85" s="221">
        <v>2</v>
      </c>
      <c r="C85" s="222" t="s">
        <v>346</v>
      </c>
      <c r="D85" s="230" t="s">
        <v>347</v>
      </c>
      <c r="E85" s="222" t="s">
        <v>333</v>
      </c>
      <c r="F85" s="221" t="s">
        <v>162</v>
      </c>
      <c r="G85" s="223">
        <v>0</v>
      </c>
      <c r="H85" s="223">
        <f t="shared" si="56"/>
        <v>0</v>
      </c>
      <c r="I85" s="223">
        <f t="shared" si="57"/>
        <v>0</v>
      </c>
      <c r="J85" s="197"/>
      <c r="K85" s="224">
        <f t="shared" si="52"/>
        <v>660.19550374330083</v>
      </c>
      <c r="L85" s="224">
        <f t="shared" si="53"/>
        <v>54.51155535495144</v>
      </c>
      <c r="M85" s="224">
        <f t="shared" si="54"/>
        <v>605.68394838834934</v>
      </c>
      <c r="N85" s="225">
        <v>230</v>
      </c>
      <c r="O85" s="225">
        <f>0.768*调差材料基价表!E30</f>
        <v>268.42718446601936</v>
      </c>
      <c r="P85" s="225">
        <f>66.96*调差材料基价表!E63/1000+0.3065*调差材料基价表!E64+2.5*调差材料基价表!E4/1000+0.45-35</f>
        <v>52.194586796116482</v>
      </c>
      <c r="Q85" s="225">
        <v>0</v>
      </c>
      <c r="R85" s="226">
        <v>0.1</v>
      </c>
      <c r="S85" s="227">
        <f t="shared" si="55"/>
        <v>55.062177126213584</v>
      </c>
      <c r="T85" s="238" t="s">
        <v>2086</v>
      </c>
      <c r="U85" s="220"/>
    </row>
    <row r="86" spans="1:21" ht="105" outlineLevel="1">
      <c r="A86" s="221">
        <v>10</v>
      </c>
      <c r="B86" s="221">
        <v>2</v>
      </c>
      <c r="C86" s="222" t="s">
        <v>346</v>
      </c>
      <c r="D86" s="230" t="s">
        <v>348</v>
      </c>
      <c r="E86" s="222" t="s">
        <v>333</v>
      </c>
      <c r="F86" s="221" t="s">
        <v>162</v>
      </c>
      <c r="G86" s="223">
        <v>0</v>
      </c>
      <c r="H86" s="223">
        <f t="shared" si="56"/>
        <v>0</v>
      </c>
      <c r="I86" s="223">
        <f t="shared" si="57"/>
        <v>0</v>
      </c>
      <c r="J86" s="197"/>
      <c r="K86" s="224">
        <f t="shared" si="52"/>
        <v>666.78841396242706</v>
      </c>
      <c r="L86" s="224">
        <f t="shared" si="53"/>
        <v>55.055924088640765</v>
      </c>
      <c r="M86" s="224">
        <f t="shared" si="54"/>
        <v>611.73248987378634</v>
      </c>
      <c r="N86" s="225">
        <v>230</v>
      </c>
      <c r="O86" s="225">
        <f>0.768*调差材料基价表!E30</f>
        <v>268.42718446601936</v>
      </c>
      <c r="P86" s="225">
        <f>82.83*调差材料基价表!E63/1000+0.305*调差材料基价表!E64+2.5*调差材料基价表!E4/1000+0.45-35</f>
        <v>57.6932608737864</v>
      </c>
      <c r="Q86" s="225">
        <v>0</v>
      </c>
      <c r="R86" s="226">
        <v>0.1</v>
      </c>
      <c r="S86" s="227">
        <f t="shared" si="55"/>
        <v>55.61204453398058</v>
      </c>
      <c r="T86" s="238" t="s">
        <v>353</v>
      </c>
      <c r="U86" s="220"/>
    </row>
    <row r="87" spans="1:21" ht="105" outlineLevel="1">
      <c r="A87" s="233">
        <v>11</v>
      </c>
      <c r="B87" s="233">
        <v>2</v>
      </c>
      <c r="C87" s="250" t="s">
        <v>349</v>
      </c>
      <c r="D87" s="260" t="s">
        <v>350</v>
      </c>
      <c r="E87" s="250" t="s">
        <v>333</v>
      </c>
      <c r="F87" s="233" t="s">
        <v>162</v>
      </c>
      <c r="G87" s="223">
        <v>273.20827934451199</v>
      </c>
      <c r="H87" s="223">
        <f t="shared" si="56"/>
        <v>191836.06305138298</v>
      </c>
      <c r="I87" s="223">
        <f t="shared" si="57"/>
        <v>191836.06305138298</v>
      </c>
      <c r="J87" s="197"/>
      <c r="K87" s="224">
        <f t="shared" si="52"/>
        <v>702.16050374330075</v>
      </c>
      <c r="L87" s="224">
        <f t="shared" si="53"/>
        <v>57.976555354951437</v>
      </c>
      <c r="M87" s="224">
        <f t="shared" si="54"/>
        <v>644.18394838834934</v>
      </c>
      <c r="N87" s="225">
        <v>230</v>
      </c>
      <c r="O87" s="225">
        <f>0.768*调差材料基价表!E30</f>
        <v>268.42718446601936</v>
      </c>
      <c r="P87" s="225">
        <f>66.96*调差材料基价表!E63/1000+0.3065*调差材料基价表!E64+2.5*调差材料基价表!E4/1000+0.45</f>
        <v>87.194586796116482</v>
      </c>
      <c r="Q87" s="225">
        <v>0</v>
      </c>
      <c r="R87" s="226">
        <v>0.1</v>
      </c>
      <c r="S87" s="227">
        <f t="shared" si="55"/>
        <v>58.562177126213584</v>
      </c>
      <c r="T87" s="238" t="s">
        <v>351</v>
      </c>
      <c r="U87" s="220"/>
    </row>
    <row r="88" spans="1:21" ht="105" outlineLevel="1">
      <c r="A88" s="221">
        <v>12</v>
      </c>
      <c r="B88" s="221">
        <v>2</v>
      </c>
      <c r="C88" s="222" t="s">
        <v>349</v>
      </c>
      <c r="D88" s="230" t="s">
        <v>352</v>
      </c>
      <c r="E88" s="222" t="s">
        <v>333</v>
      </c>
      <c r="F88" s="221" t="s">
        <v>162</v>
      </c>
      <c r="G88" s="223">
        <v>0</v>
      </c>
      <c r="H88" s="223">
        <f t="shared" si="56"/>
        <v>0</v>
      </c>
      <c r="I88" s="223">
        <f t="shared" si="57"/>
        <v>0</v>
      </c>
      <c r="J88" s="197"/>
      <c r="K88" s="224">
        <f t="shared" si="52"/>
        <v>708.75341396242709</v>
      </c>
      <c r="L88" s="224">
        <f t="shared" si="53"/>
        <v>58.520924088640768</v>
      </c>
      <c r="M88" s="224">
        <f t="shared" si="54"/>
        <v>650.23248987378634</v>
      </c>
      <c r="N88" s="225">
        <v>230</v>
      </c>
      <c r="O88" s="225">
        <f>0.768*调差材料基价表!E30</f>
        <v>268.42718446601936</v>
      </c>
      <c r="P88" s="225">
        <f>82.83*调差材料基价表!E63/1000+0.305*调差材料基价表!E64+2.5*调差材料基价表!E4/1000+0.45</f>
        <v>92.6932608737864</v>
      </c>
      <c r="Q88" s="225">
        <v>0</v>
      </c>
      <c r="R88" s="226">
        <v>0.1</v>
      </c>
      <c r="S88" s="227">
        <f t="shared" si="55"/>
        <v>59.11204453398058</v>
      </c>
      <c r="T88" s="238" t="s">
        <v>353</v>
      </c>
      <c r="U88" s="220"/>
    </row>
    <row r="89" spans="1:21" ht="105" outlineLevel="1">
      <c r="A89" s="221">
        <v>13</v>
      </c>
      <c r="B89" s="221">
        <v>2</v>
      </c>
      <c r="C89" s="222" t="s">
        <v>354</v>
      </c>
      <c r="D89" s="230" t="s">
        <v>355</v>
      </c>
      <c r="E89" s="222" t="s">
        <v>333</v>
      </c>
      <c r="F89" s="221" t="s">
        <v>162</v>
      </c>
      <c r="G89" s="223">
        <v>0</v>
      </c>
      <c r="H89" s="223">
        <f t="shared" si="56"/>
        <v>0</v>
      </c>
      <c r="I89" s="223">
        <f t="shared" si="57"/>
        <v>0</v>
      </c>
      <c r="J89" s="197"/>
      <c r="K89" s="224">
        <f t="shared" si="52"/>
        <v>633.40714019619406</v>
      </c>
      <c r="L89" s="224">
        <f t="shared" si="53"/>
        <v>52.299672126291249</v>
      </c>
      <c r="M89" s="224">
        <f t="shared" si="54"/>
        <v>581.10746806990278</v>
      </c>
      <c r="N89" s="225">
        <v>230</v>
      </c>
      <c r="O89" s="225">
        <f>0.532*调差材料基价表!E29</f>
        <v>247.92233009708733</v>
      </c>
      <c r="P89" s="225">
        <f>64.728*调差材料基价表!E63/1000+0.2949*调差材料基价表!E64+2.5*调差材料基价表!E4/1000+0.45-34</f>
        <v>50.357186330097079</v>
      </c>
      <c r="Q89" s="225">
        <v>0</v>
      </c>
      <c r="R89" s="226">
        <v>0.1</v>
      </c>
      <c r="S89" s="227">
        <f t="shared" si="55"/>
        <v>52.827951642718439</v>
      </c>
      <c r="T89" s="238" t="s">
        <v>2087</v>
      </c>
      <c r="U89" s="220"/>
    </row>
    <row r="90" spans="1:21" ht="105" outlineLevel="1">
      <c r="A90" s="221">
        <v>14</v>
      </c>
      <c r="B90" s="221">
        <v>2</v>
      </c>
      <c r="C90" s="222" t="s">
        <v>356</v>
      </c>
      <c r="D90" s="230" t="s">
        <v>357</v>
      </c>
      <c r="E90" s="222" t="s">
        <v>333</v>
      </c>
      <c r="F90" s="221" t="s">
        <v>162</v>
      </c>
      <c r="G90" s="223">
        <v>0</v>
      </c>
      <c r="H90" s="223">
        <f t="shared" si="56"/>
        <v>0</v>
      </c>
      <c r="I90" s="223">
        <f t="shared" si="57"/>
        <v>0</v>
      </c>
      <c r="J90" s="197"/>
      <c r="K90" s="224">
        <f t="shared" si="52"/>
        <v>639.86953917219398</v>
      </c>
      <c r="L90" s="224">
        <f t="shared" si="53"/>
        <v>52.833264702291245</v>
      </c>
      <c r="M90" s="224">
        <f t="shared" si="54"/>
        <v>587.03627446990276</v>
      </c>
      <c r="N90" s="225">
        <v>230</v>
      </c>
      <c r="O90" s="225">
        <f>0.532*调差材料基价表!E29</f>
        <v>247.92233009708733</v>
      </c>
      <c r="P90" s="225">
        <f>79.576*调差材料基价表!E63/1000+0.2949*调差材料基价表!E64+2.5*调差材料基价表!E4/1000+0.45-34</f>
        <v>55.747010330097069</v>
      </c>
      <c r="Q90" s="225">
        <v>0</v>
      </c>
      <c r="R90" s="226">
        <v>0.1</v>
      </c>
      <c r="S90" s="227">
        <f t="shared" si="55"/>
        <v>53.366934042718441</v>
      </c>
      <c r="T90" s="252" t="s">
        <v>358</v>
      </c>
      <c r="U90" s="220"/>
    </row>
    <row r="91" spans="1:21" ht="105" outlineLevel="1">
      <c r="A91" s="221">
        <v>15</v>
      </c>
      <c r="B91" s="221">
        <v>2</v>
      </c>
      <c r="C91" s="222" t="s">
        <v>354</v>
      </c>
      <c r="D91" s="230" t="s">
        <v>359</v>
      </c>
      <c r="E91" s="222" t="s">
        <v>333</v>
      </c>
      <c r="F91" s="221" t="s">
        <v>162</v>
      </c>
      <c r="G91" s="223">
        <v>0</v>
      </c>
      <c r="H91" s="223">
        <f t="shared" si="56"/>
        <v>0</v>
      </c>
      <c r="I91" s="223">
        <f t="shared" si="57"/>
        <v>0</v>
      </c>
      <c r="J91" s="197"/>
      <c r="K91" s="224">
        <f t="shared" si="52"/>
        <v>674.17314019619414</v>
      </c>
      <c r="L91" s="224">
        <f t="shared" si="53"/>
        <v>55.665672126291255</v>
      </c>
      <c r="M91" s="224">
        <f t="shared" si="54"/>
        <v>618.50746806990287</v>
      </c>
      <c r="N91" s="225">
        <v>230</v>
      </c>
      <c r="O91" s="225">
        <f>0.532*调差材料基价表!E29</f>
        <v>247.92233009708733</v>
      </c>
      <c r="P91" s="225">
        <f>64.728*调差材料基价表!E63/1000+0.2949*调差材料基价表!E64+2.5*调差材料基价表!E4/1000+0.45</f>
        <v>84.357186330097079</v>
      </c>
      <c r="Q91" s="225">
        <v>0</v>
      </c>
      <c r="R91" s="226">
        <v>0.1</v>
      </c>
      <c r="S91" s="227">
        <f t="shared" si="55"/>
        <v>56.227951642718438</v>
      </c>
      <c r="T91" s="252" t="s">
        <v>360</v>
      </c>
      <c r="U91" s="220"/>
    </row>
    <row r="92" spans="1:21" ht="105" outlineLevel="1">
      <c r="A92" s="221">
        <v>16</v>
      </c>
      <c r="B92" s="221">
        <v>2</v>
      </c>
      <c r="C92" s="222" t="s">
        <v>354</v>
      </c>
      <c r="D92" s="230" t="s">
        <v>361</v>
      </c>
      <c r="E92" s="222" t="s">
        <v>333</v>
      </c>
      <c r="F92" s="221" t="s">
        <v>162</v>
      </c>
      <c r="G92" s="223">
        <v>0</v>
      </c>
      <c r="H92" s="223">
        <f t="shared" si="56"/>
        <v>0</v>
      </c>
      <c r="I92" s="223">
        <f t="shared" si="57"/>
        <v>0</v>
      </c>
      <c r="J92" s="197"/>
      <c r="K92" s="224">
        <f t="shared" si="52"/>
        <v>680.63553917219394</v>
      </c>
      <c r="L92" s="224">
        <f t="shared" si="53"/>
        <v>56.199264702291245</v>
      </c>
      <c r="M92" s="224">
        <f t="shared" si="54"/>
        <v>624.43627446990274</v>
      </c>
      <c r="N92" s="225">
        <v>230</v>
      </c>
      <c r="O92" s="225">
        <f>0.532*调差材料基价表!E29</f>
        <v>247.92233009708733</v>
      </c>
      <c r="P92" s="225">
        <f>79.576*调差材料基价表!E63/1000+0.2949*调差材料基价表!E64+2.5*调差材料基价表!E4/1000+0.45</f>
        <v>89.747010330097069</v>
      </c>
      <c r="Q92" s="225">
        <v>0</v>
      </c>
      <c r="R92" s="226">
        <v>0.1</v>
      </c>
      <c r="S92" s="227">
        <f t="shared" si="55"/>
        <v>56.766934042718439</v>
      </c>
      <c r="T92" s="252" t="s">
        <v>362</v>
      </c>
      <c r="U92" s="220"/>
    </row>
    <row r="93" spans="1:21" ht="94.5" outlineLevel="1">
      <c r="A93" s="221">
        <v>17</v>
      </c>
      <c r="B93" s="221">
        <v>2</v>
      </c>
      <c r="C93" s="222" t="s">
        <v>363</v>
      </c>
      <c r="D93" s="230" t="s">
        <v>364</v>
      </c>
      <c r="E93" s="222" t="s">
        <v>333</v>
      </c>
      <c r="F93" s="221" t="s">
        <v>162</v>
      </c>
      <c r="G93" s="223">
        <v>0</v>
      </c>
      <c r="H93" s="223">
        <f t="shared" si="56"/>
        <v>0</v>
      </c>
      <c r="I93" s="223">
        <f t="shared" si="57"/>
        <v>0</v>
      </c>
      <c r="J93" s="197"/>
      <c r="K93" s="224">
        <f t="shared" si="52"/>
        <v>663.93086137047567</v>
      </c>
      <c r="L93" s="224">
        <f t="shared" si="53"/>
        <v>54.819979379213585</v>
      </c>
      <c r="M93" s="224">
        <f t="shared" si="54"/>
        <v>609.11088199126209</v>
      </c>
      <c r="N93" s="225">
        <v>250</v>
      </c>
      <c r="O93" s="225">
        <f>0.5514*调差材料基价表!E29</f>
        <v>256.96310679611645</v>
      </c>
      <c r="P93" s="225">
        <f>58.869*调差材料基价表!E63/1000+调差材料基价表!E64*0.2694+2.5*调差材料基价表!E4/1000+0.45-31</f>
        <v>46.774058650485429</v>
      </c>
      <c r="Q93" s="225">
        <v>0</v>
      </c>
      <c r="R93" s="226">
        <v>0.1</v>
      </c>
      <c r="S93" s="227">
        <f t="shared" si="55"/>
        <v>55.373716544660198</v>
      </c>
      <c r="T93" s="252" t="s">
        <v>2088</v>
      </c>
      <c r="U93" s="264"/>
    </row>
    <row r="94" spans="1:21" ht="94.5" outlineLevel="1">
      <c r="A94" s="221">
        <v>18</v>
      </c>
      <c r="B94" s="221">
        <v>2</v>
      </c>
      <c r="C94" s="222" t="s">
        <v>363</v>
      </c>
      <c r="D94" s="230" t="s">
        <v>365</v>
      </c>
      <c r="E94" s="222" t="s">
        <v>333</v>
      </c>
      <c r="F94" s="221" t="s">
        <v>162</v>
      </c>
      <c r="G94" s="223">
        <v>0</v>
      </c>
      <c r="H94" s="223">
        <f t="shared" si="56"/>
        <v>0</v>
      </c>
      <c r="I94" s="223">
        <f t="shared" si="57"/>
        <v>0</v>
      </c>
      <c r="J94" s="197"/>
      <c r="K94" s="224">
        <f t="shared" si="52"/>
        <v>673.52286137047577</v>
      </c>
      <c r="L94" s="224">
        <f t="shared" si="53"/>
        <v>55.611979379213594</v>
      </c>
      <c r="M94" s="224">
        <f t="shared" si="54"/>
        <v>617.91088199126216</v>
      </c>
      <c r="N94" s="225">
        <v>250</v>
      </c>
      <c r="O94" s="225">
        <f>0.5514*调差材料基价表!E29</f>
        <v>256.96310679611645</v>
      </c>
      <c r="P94" s="225">
        <f>58.869*调差材料基价表!E63/1000+调差材料基价表!E64*0.2694+2.5*调差材料基价表!E4/1000+0.45+8-31</f>
        <v>54.774058650485429</v>
      </c>
      <c r="Q94" s="225">
        <v>0</v>
      </c>
      <c r="R94" s="226">
        <v>0.1</v>
      </c>
      <c r="S94" s="227">
        <f t="shared" si="55"/>
        <v>56.173716544660195</v>
      </c>
      <c r="T94" s="252" t="s">
        <v>2089</v>
      </c>
      <c r="U94" s="264"/>
    </row>
    <row r="95" spans="1:21" ht="105" outlineLevel="1">
      <c r="A95" s="221">
        <v>19</v>
      </c>
      <c r="B95" s="221">
        <v>2</v>
      </c>
      <c r="C95" s="220" t="s">
        <v>363</v>
      </c>
      <c r="D95" s="230" t="s">
        <v>366</v>
      </c>
      <c r="E95" s="268" t="s">
        <v>2097</v>
      </c>
      <c r="F95" s="269" t="s">
        <v>162</v>
      </c>
      <c r="G95" s="223">
        <v>0</v>
      </c>
      <c r="H95" s="223">
        <f t="shared" si="56"/>
        <v>0</v>
      </c>
      <c r="I95" s="223">
        <f t="shared" si="57"/>
        <v>0</v>
      </c>
      <c r="J95" s="327"/>
      <c r="K95" s="224">
        <f t="shared" si="52"/>
        <v>701.09986137047565</v>
      </c>
      <c r="L95" s="224">
        <f t="shared" si="53"/>
        <v>57.888979379213588</v>
      </c>
      <c r="M95" s="224">
        <f t="shared" si="54"/>
        <v>643.21088199126211</v>
      </c>
      <c r="N95" s="225">
        <v>250</v>
      </c>
      <c r="O95" s="225">
        <f>0.5514*调差材料基价表!E29</f>
        <v>256.96310679611645</v>
      </c>
      <c r="P95" s="225">
        <f>58.869*调差材料基价表!E63/1000+调差材料基价表!E64*0.2694+2.5*调差材料基价表!E4/1000+0.45</f>
        <v>77.774058650485429</v>
      </c>
      <c r="Q95" s="225">
        <v>0</v>
      </c>
      <c r="R95" s="226">
        <v>0.1</v>
      </c>
      <c r="S95" s="227">
        <f t="shared" si="55"/>
        <v>58.473716544660192</v>
      </c>
      <c r="T95" s="252" t="s">
        <v>367</v>
      </c>
      <c r="U95" s="264"/>
    </row>
    <row r="96" spans="1:21" ht="105" outlineLevel="1">
      <c r="A96" s="233">
        <v>20</v>
      </c>
      <c r="B96" s="233">
        <v>2</v>
      </c>
      <c r="C96" s="254" t="s">
        <v>363</v>
      </c>
      <c r="D96" s="260" t="s">
        <v>368</v>
      </c>
      <c r="E96" s="270" t="s">
        <v>2097</v>
      </c>
      <c r="F96" s="271" t="s">
        <v>162</v>
      </c>
      <c r="G96" s="223">
        <v>55.207268487265999</v>
      </c>
      <c r="H96" s="223">
        <f t="shared" si="56"/>
        <v>39235.356402394675</v>
      </c>
      <c r="I96" s="223">
        <f t="shared" si="57"/>
        <v>39235.356402394675</v>
      </c>
      <c r="J96" s="327"/>
      <c r="K96" s="224">
        <f t="shared" si="52"/>
        <v>710.69186137047564</v>
      </c>
      <c r="L96" s="224">
        <f t="shared" si="53"/>
        <v>58.680979379213582</v>
      </c>
      <c r="M96" s="224">
        <f t="shared" si="54"/>
        <v>652.01088199126207</v>
      </c>
      <c r="N96" s="225">
        <v>250</v>
      </c>
      <c r="O96" s="225">
        <f>0.5514*调差材料基价表!E29</f>
        <v>256.96310679611645</v>
      </c>
      <c r="P96" s="225">
        <f>58.869*调差材料基价表!E63/1000+调差材料基价表!E64*0.2694+2.5*调差材料基价表!E4/1000+0.45+8</f>
        <v>85.774058650485429</v>
      </c>
      <c r="Q96" s="225">
        <v>0</v>
      </c>
      <c r="R96" s="226">
        <v>0.1</v>
      </c>
      <c r="S96" s="227">
        <f t="shared" si="55"/>
        <v>59.273716544660196</v>
      </c>
      <c r="T96" s="252" t="s">
        <v>369</v>
      </c>
      <c r="U96" s="264"/>
    </row>
    <row r="97" spans="1:21" ht="84" outlineLevel="1">
      <c r="A97" s="221">
        <v>21</v>
      </c>
      <c r="B97" s="221">
        <v>2</v>
      </c>
      <c r="C97" s="222" t="s">
        <v>370</v>
      </c>
      <c r="D97" s="230" t="s">
        <v>371</v>
      </c>
      <c r="E97" s="222" t="s">
        <v>333</v>
      </c>
      <c r="F97" s="221" t="s">
        <v>162</v>
      </c>
      <c r="G97" s="223">
        <v>0</v>
      </c>
      <c r="H97" s="223">
        <f t="shared" si="56"/>
        <v>0</v>
      </c>
      <c r="I97" s="223">
        <f t="shared" si="57"/>
        <v>0</v>
      </c>
      <c r="J97" s="197"/>
      <c r="K97" s="224">
        <f t="shared" si="52"/>
        <v>1734.8869385922324</v>
      </c>
      <c r="L97" s="224">
        <f t="shared" si="53"/>
        <v>143.24754538834947</v>
      </c>
      <c r="M97" s="224">
        <f t="shared" si="54"/>
        <v>1591.6393932038829</v>
      </c>
      <c r="N97" s="225">
        <v>250</v>
      </c>
      <c r="O97" s="225">
        <f>0.744*调差材料基价表!E38</f>
        <v>1083.4951456310675</v>
      </c>
      <c r="P97" s="225">
        <f>0.2448*调差材料基价表!E40+2.5*调差材料基价表!E4/1000</f>
        <v>113.44975728155327</v>
      </c>
      <c r="Q97" s="225">
        <v>0</v>
      </c>
      <c r="R97" s="226">
        <v>0.1</v>
      </c>
      <c r="S97" s="227">
        <f t="shared" si="55"/>
        <v>144.6944902912621</v>
      </c>
      <c r="T97" s="252" t="s">
        <v>372</v>
      </c>
      <c r="U97" s="264"/>
    </row>
    <row r="98" spans="1:21" ht="178.5" outlineLevel="1">
      <c r="A98" s="221">
        <v>22</v>
      </c>
      <c r="B98" s="221">
        <v>2</v>
      </c>
      <c r="C98" s="222" t="s">
        <v>373</v>
      </c>
      <c r="D98" s="230" t="s">
        <v>374</v>
      </c>
      <c r="E98" s="222" t="s">
        <v>375</v>
      </c>
      <c r="F98" s="221" t="s">
        <v>162</v>
      </c>
      <c r="G98" s="223">
        <v>0</v>
      </c>
      <c r="H98" s="223">
        <f t="shared" si="56"/>
        <v>0</v>
      </c>
      <c r="I98" s="223">
        <f t="shared" si="57"/>
        <v>0</v>
      </c>
      <c r="J98" s="197"/>
      <c r="K98" s="224">
        <f t="shared" si="52"/>
        <v>810.69444425242671</v>
      </c>
      <c r="L98" s="224">
        <f t="shared" si="53"/>
        <v>66.938073378640738</v>
      </c>
      <c r="M98" s="224">
        <f t="shared" si="54"/>
        <v>743.75637087378595</v>
      </c>
      <c r="N98" s="225">
        <v>230</v>
      </c>
      <c r="O98" s="225">
        <f>1.02*调差材料基价表!E33</f>
        <v>435.72815533980537</v>
      </c>
      <c r="P98" s="225">
        <f>28*调差材料基价表!E63/1000+0.25</f>
        <v>10.414</v>
      </c>
      <c r="Q98" s="225">
        <v>0</v>
      </c>
      <c r="R98" s="226">
        <v>0.1</v>
      </c>
      <c r="S98" s="227">
        <f t="shared" si="55"/>
        <v>67.614215533980541</v>
      </c>
      <c r="T98" s="238" t="s">
        <v>376</v>
      </c>
      <c r="U98" s="264"/>
    </row>
    <row r="99" spans="1:21" ht="136.5" outlineLevel="1">
      <c r="A99" s="221">
        <v>23</v>
      </c>
      <c r="B99" s="221">
        <v>2</v>
      </c>
      <c r="C99" s="222" t="s">
        <v>377</v>
      </c>
      <c r="D99" s="230" t="s">
        <v>378</v>
      </c>
      <c r="E99" s="222" t="s">
        <v>333</v>
      </c>
      <c r="F99" s="221" t="s">
        <v>162</v>
      </c>
      <c r="G99" s="223">
        <v>0</v>
      </c>
      <c r="H99" s="223">
        <f t="shared" si="56"/>
        <v>0</v>
      </c>
      <c r="I99" s="223">
        <f t="shared" si="57"/>
        <v>0</v>
      </c>
      <c r="J99" s="197"/>
      <c r="K99" s="224">
        <f t="shared" ref="K99:K120" si="58">L99+M99</f>
        <v>653.42841073314958</v>
      </c>
      <c r="L99" s="224">
        <f t="shared" ref="L99:L120" si="59">M99*0.09</f>
        <v>53.952804555948134</v>
      </c>
      <c r="M99" s="224">
        <f t="shared" ref="M99:M120" si="60">N99+O99+P99+Q99+S99</f>
        <v>599.47560617720148</v>
      </c>
      <c r="N99" s="225">
        <v>230</v>
      </c>
      <c r="O99" s="225">
        <f>0.692*调差材料基价表!E32+0.216*调差材料基价表!E29</f>
        <v>267.69467693337822</v>
      </c>
      <c r="P99" s="225">
        <f>32.643*调差材料基价表!E63/1000+0.1494*调差材料基价表!E64+2.5*调差材料基价表!E4/1000+0.45</f>
        <v>47.283146864077665</v>
      </c>
      <c r="Q99" s="225">
        <v>0</v>
      </c>
      <c r="R99" s="226">
        <v>0.1</v>
      </c>
      <c r="S99" s="227">
        <f t="shared" ref="S99:S120" si="61">SUM(N99:Q99)*R99</f>
        <v>54.497782379745594</v>
      </c>
      <c r="T99" s="238" t="s">
        <v>379</v>
      </c>
      <c r="U99" s="220"/>
    </row>
    <row r="100" spans="1:21" ht="136.5" outlineLevel="1">
      <c r="A100" s="221">
        <v>24</v>
      </c>
      <c r="B100" s="221">
        <v>2</v>
      </c>
      <c r="C100" s="222" t="s">
        <v>380</v>
      </c>
      <c r="D100" s="230" t="s">
        <v>381</v>
      </c>
      <c r="E100" s="222" t="s">
        <v>333</v>
      </c>
      <c r="F100" s="221" t="s">
        <v>162</v>
      </c>
      <c r="G100" s="223">
        <v>0</v>
      </c>
      <c r="H100" s="223">
        <f t="shared" si="56"/>
        <v>0</v>
      </c>
      <c r="I100" s="223">
        <f t="shared" si="57"/>
        <v>0</v>
      </c>
      <c r="J100" s="197"/>
      <c r="K100" s="224">
        <f t="shared" si="58"/>
        <v>633.04541073314965</v>
      </c>
      <c r="L100" s="224">
        <f t="shared" si="59"/>
        <v>52.269804555948134</v>
      </c>
      <c r="M100" s="224">
        <f t="shared" si="60"/>
        <v>580.77560617720155</v>
      </c>
      <c r="N100" s="225">
        <v>230</v>
      </c>
      <c r="O100" s="225">
        <f>0.692*调差材料基价表!E32+0.216*调差材料基价表!E29</f>
        <v>267.69467693337822</v>
      </c>
      <c r="P100" s="225">
        <f>32.643*调差材料基价表!E63/1000+0.1494*调差材料基价表!E64+2.5*调差材料基价表!E4/1000+0.45-17</f>
        <v>30.283146864077665</v>
      </c>
      <c r="Q100" s="225">
        <v>0</v>
      </c>
      <c r="R100" s="226">
        <v>0.1</v>
      </c>
      <c r="S100" s="227">
        <f t="shared" si="61"/>
        <v>52.797782379745598</v>
      </c>
      <c r="T100" s="238" t="s">
        <v>712</v>
      </c>
      <c r="U100" s="220"/>
    </row>
    <row r="101" spans="1:21">
      <c r="A101" s="221"/>
      <c r="B101" s="221"/>
      <c r="C101" s="211" t="s">
        <v>382</v>
      </c>
      <c r="D101" s="230"/>
      <c r="E101" s="222"/>
      <c r="F101" s="221"/>
      <c r="G101" s="223">
        <v>0</v>
      </c>
      <c r="H101" s="212">
        <f>SUM(H77:H100)</f>
        <v>426029.69901029003</v>
      </c>
      <c r="I101" s="212">
        <f>SUM(I77:I100)</f>
        <v>426029.69901029003</v>
      </c>
      <c r="J101" s="226"/>
      <c r="K101" s="224">
        <f t="shared" si="58"/>
        <v>0</v>
      </c>
      <c r="L101" s="224">
        <f t="shared" si="59"/>
        <v>0</v>
      </c>
      <c r="M101" s="224">
        <f t="shared" si="60"/>
        <v>0</v>
      </c>
      <c r="N101" s="225"/>
      <c r="O101" s="225"/>
      <c r="P101" s="225"/>
      <c r="Q101" s="225"/>
      <c r="R101" s="226">
        <v>0.1</v>
      </c>
      <c r="S101" s="227">
        <f t="shared" si="61"/>
        <v>0</v>
      </c>
      <c r="T101" s="238"/>
      <c r="U101" s="220"/>
    </row>
    <row r="102" spans="1:21" ht="31.5">
      <c r="A102" s="209" t="s">
        <v>76</v>
      </c>
      <c r="B102" s="209">
        <v>1</v>
      </c>
      <c r="C102" s="210" t="s">
        <v>383</v>
      </c>
      <c r="D102" s="211"/>
      <c r="E102" s="209"/>
      <c r="F102" s="221"/>
      <c r="G102" s="223">
        <v>0</v>
      </c>
      <c r="H102" s="223"/>
      <c r="I102" s="223"/>
      <c r="J102" s="226"/>
      <c r="K102" s="224">
        <f t="shared" si="58"/>
        <v>0</v>
      </c>
      <c r="L102" s="224">
        <f t="shared" si="59"/>
        <v>0</v>
      </c>
      <c r="M102" s="224">
        <f t="shared" si="60"/>
        <v>0</v>
      </c>
      <c r="N102" s="225"/>
      <c r="O102" s="225"/>
      <c r="P102" s="225"/>
      <c r="Q102" s="225"/>
      <c r="R102" s="226">
        <v>0.1</v>
      </c>
      <c r="S102" s="227">
        <f t="shared" si="61"/>
        <v>0</v>
      </c>
      <c r="T102" s="228"/>
      <c r="U102" s="220"/>
    </row>
    <row r="103" spans="1:21" ht="52.5" outlineLevel="2">
      <c r="A103" s="221">
        <v>1</v>
      </c>
      <c r="B103" s="221">
        <v>2</v>
      </c>
      <c r="C103" s="229" t="s">
        <v>384</v>
      </c>
      <c r="D103" s="230" t="s">
        <v>385</v>
      </c>
      <c r="E103" s="230" t="s">
        <v>252</v>
      </c>
      <c r="F103" s="221" t="s">
        <v>162</v>
      </c>
      <c r="G103" s="223">
        <v>0</v>
      </c>
      <c r="H103" s="223">
        <f>G103*K103</f>
        <v>0</v>
      </c>
      <c r="I103" s="223">
        <f>G103*K103*(1+J103)</f>
        <v>0</v>
      </c>
      <c r="J103" s="197"/>
      <c r="K103" s="224">
        <f t="shared" si="58"/>
        <v>530.7970671844655</v>
      </c>
      <c r="L103" s="224">
        <f t="shared" si="59"/>
        <v>43.827280776698984</v>
      </c>
      <c r="M103" s="224">
        <f t="shared" si="60"/>
        <v>486.96978640776649</v>
      </c>
      <c r="N103" s="225">
        <v>28</v>
      </c>
      <c r="O103" s="225">
        <f>调差材料基价表!E11*1.02</f>
        <v>406.01941747572772</v>
      </c>
      <c r="P103" s="225">
        <v>0</v>
      </c>
      <c r="Q103" s="225">
        <f>(N103+O103)*2%</f>
        <v>8.6803883495145548</v>
      </c>
      <c r="R103" s="226">
        <v>0.1</v>
      </c>
      <c r="S103" s="227">
        <f t="shared" si="61"/>
        <v>44.269980582524227</v>
      </c>
      <c r="T103" s="228" t="s">
        <v>222</v>
      </c>
      <c r="U103" s="220" t="s">
        <v>254</v>
      </c>
    </row>
    <row r="104" spans="1:21" ht="52.5" outlineLevel="2">
      <c r="A104" s="221">
        <v>2</v>
      </c>
      <c r="B104" s="221">
        <v>2</v>
      </c>
      <c r="C104" s="229" t="s">
        <v>384</v>
      </c>
      <c r="D104" s="230" t="s">
        <v>386</v>
      </c>
      <c r="E104" s="230" t="s">
        <v>252</v>
      </c>
      <c r="F104" s="221" t="s">
        <v>162</v>
      </c>
      <c r="G104" s="223">
        <v>0</v>
      </c>
      <c r="H104" s="223">
        <f t="shared" ref="H104:H120" si="62">G104*K104</f>
        <v>0</v>
      </c>
      <c r="I104" s="223">
        <f t="shared" ref="I104:I120" si="63">G104*K104*(1+J104)</f>
        <v>0</v>
      </c>
      <c r="J104" s="197"/>
      <c r="K104" s="224">
        <f t="shared" si="58"/>
        <v>530.7970671844655</v>
      </c>
      <c r="L104" s="224">
        <f t="shared" si="59"/>
        <v>43.827280776698984</v>
      </c>
      <c r="M104" s="224">
        <f t="shared" si="60"/>
        <v>486.96978640776649</v>
      </c>
      <c r="N104" s="225">
        <v>28</v>
      </c>
      <c r="O104" s="225">
        <f>调差材料基价表!E11*1.02</f>
        <v>406.01941747572772</v>
      </c>
      <c r="P104" s="225">
        <v>0</v>
      </c>
      <c r="Q104" s="225">
        <f t="shared" ref="Q104:Q113" si="64">(N104+O104)*2%</f>
        <v>8.6803883495145548</v>
      </c>
      <c r="R104" s="226">
        <v>0.1</v>
      </c>
      <c r="S104" s="227">
        <f t="shared" si="61"/>
        <v>44.269980582524227</v>
      </c>
      <c r="T104" s="228" t="s">
        <v>222</v>
      </c>
      <c r="U104" s="220" t="s">
        <v>254</v>
      </c>
    </row>
    <row r="105" spans="1:21" ht="52.5" outlineLevel="2">
      <c r="A105" s="233">
        <v>3</v>
      </c>
      <c r="B105" s="233">
        <v>2</v>
      </c>
      <c r="C105" s="272" t="s">
        <v>384</v>
      </c>
      <c r="D105" s="260" t="s">
        <v>387</v>
      </c>
      <c r="E105" s="260" t="s">
        <v>252</v>
      </c>
      <c r="F105" s="233" t="s">
        <v>162</v>
      </c>
      <c r="G105" s="223">
        <v>0</v>
      </c>
      <c r="H105" s="223">
        <f t="shared" si="62"/>
        <v>0</v>
      </c>
      <c r="I105" s="223">
        <f t="shared" si="63"/>
        <v>0</v>
      </c>
      <c r="J105" s="197"/>
      <c r="K105" s="224">
        <f t="shared" si="58"/>
        <v>530.7970671844655</v>
      </c>
      <c r="L105" s="224">
        <f t="shared" si="59"/>
        <v>43.827280776698984</v>
      </c>
      <c r="M105" s="224">
        <f t="shared" si="60"/>
        <v>486.96978640776649</v>
      </c>
      <c r="N105" s="225">
        <v>28</v>
      </c>
      <c r="O105" s="225">
        <f>调差材料基价表!E12*1.02</f>
        <v>406.01941747572772</v>
      </c>
      <c r="P105" s="225">
        <v>0</v>
      </c>
      <c r="Q105" s="225">
        <f t="shared" si="64"/>
        <v>8.6803883495145548</v>
      </c>
      <c r="R105" s="226">
        <v>0.1</v>
      </c>
      <c r="S105" s="227">
        <f t="shared" si="61"/>
        <v>44.269980582524227</v>
      </c>
      <c r="T105" s="228" t="s">
        <v>222</v>
      </c>
      <c r="U105" s="220" t="s">
        <v>254</v>
      </c>
    </row>
    <row r="106" spans="1:21" ht="52.5" outlineLevel="2">
      <c r="A106" s="233">
        <v>4</v>
      </c>
      <c r="B106" s="233">
        <v>2</v>
      </c>
      <c r="C106" s="272" t="s">
        <v>384</v>
      </c>
      <c r="D106" s="260" t="s">
        <v>388</v>
      </c>
      <c r="E106" s="250" t="s">
        <v>252</v>
      </c>
      <c r="F106" s="233" t="s">
        <v>162</v>
      </c>
      <c r="G106" s="223">
        <v>32.943969131097603</v>
      </c>
      <c r="H106" s="223">
        <f t="shared" si="62"/>
        <v>17885.548717321686</v>
      </c>
      <c r="I106" s="223">
        <f t="shared" si="63"/>
        <v>17885.548717321686</v>
      </c>
      <c r="J106" s="197"/>
      <c r="K106" s="224">
        <f t="shared" si="58"/>
        <v>542.90813126213573</v>
      </c>
      <c r="L106" s="224">
        <f t="shared" si="59"/>
        <v>44.827276893203866</v>
      </c>
      <c r="M106" s="224">
        <f t="shared" si="60"/>
        <v>498.08085436893185</v>
      </c>
      <c r="N106" s="225">
        <v>28</v>
      </c>
      <c r="O106" s="225">
        <f>调差材料基价表!E13*1.02</f>
        <v>415.92233009708724</v>
      </c>
      <c r="P106" s="225">
        <v>0</v>
      </c>
      <c r="Q106" s="225">
        <f t="shared" si="64"/>
        <v>8.8784466019417447</v>
      </c>
      <c r="R106" s="226">
        <v>0.1</v>
      </c>
      <c r="S106" s="227">
        <f t="shared" si="61"/>
        <v>45.280077669902902</v>
      </c>
      <c r="T106" s="228" t="s">
        <v>222</v>
      </c>
      <c r="U106" s="220" t="s">
        <v>254</v>
      </c>
    </row>
    <row r="107" spans="1:21" ht="52.5" outlineLevel="2">
      <c r="A107" s="233">
        <v>5</v>
      </c>
      <c r="B107" s="233">
        <v>2</v>
      </c>
      <c r="C107" s="272" t="s">
        <v>384</v>
      </c>
      <c r="D107" s="260" t="s">
        <v>389</v>
      </c>
      <c r="E107" s="250" t="s">
        <v>252</v>
      </c>
      <c r="F107" s="233" t="s">
        <v>162</v>
      </c>
      <c r="G107" s="223">
        <v>2232.8590139100602</v>
      </c>
      <c r="H107" s="223">
        <f t="shared" si="62"/>
        <v>1239279.6132075945</v>
      </c>
      <c r="I107" s="223">
        <f t="shared" si="63"/>
        <v>1239279.6132075945</v>
      </c>
      <c r="J107" s="197"/>
      <c r="K107" s="224">
        <f t="shared" si="58"/>
        <v>555.01919533980606</v>
      </c>
      <c r="L107" s="224">
        <f t="shared" si="59"/>
        <v>45.827273009708755</v>
      </c>
      <c r="M107" s="224">
        <f t="shared" si="60"/>
        <v>509.19192233009733</v>
      </c>
      <c r="N107" s="225">
        <v>28</v>
      </c>
      <c r="O107" s="225">
        <f>调差材料基价表!E14*1.02</f>
        <v>425.82524271844682</v>
      </c>
      <c r="P107" s="225">
        <v>0</v>
      </c>
      <c r="Q107" s="225">
        <f t="shared" si="64"/>
        <v>9.0765048543689364</v>
      </c>
      <c r="R107" s="226">
        <v>0.1</v>
      </c>
      <c r="S107" s="227">
        <f t="shared" si="61"/>
        <v>46.290174757281576</v>
      </c>
      <c r="T107" s="228" t="s">
        <v>222</v>
      </c>
      <c r="U107" s="220" t="s">
        <v>254</v>
      </c>
    </row>
    <row r="108" spans="1:21" ht="52.5" outlineLevel="2">
      <c r="A108" s="233">
        <v>6</v>
      </c>
      <c r="B108" s="233">
        <v>2</v>
      </c>
      <c r="C108" s="272" t="s">
        <v>384</v>
      </c>
      <c r="D108" s="260" t="s">
        <v>390</v>
      </c>
      <c r="E108" s="250" t="s">
        <v>252</v>
      </c>
      <c r="F108" s="233" t="s">
        <v>162</v>
      </c>
      <c r="G108" s="223">
        <v>0</v>
      </c>
      <c r="H108" s="223">
        <f t="shared" si="62"/>
        <v>0</v>
      </c>
      <c r="I108" s="223">
        <f t="shared" si="63"/>
        <v>0</v>
      </c>
      <c r="J108" s="197"/>
      <c r="K108" s="224">
        <f t="shared" si="58"/>
        <v>573.18579145631031</v>
      </c>
      <c r="L108" s="224">
        <f t="shared" si="59"/>
        <v>47.327267184465988</v>
      </c>
      <c r="M108" s="224">
        <f t="shared" si="60"/>
        <v>525.85852427184432</v>
      </c>
      <c r="N108" s="225">
        <v>28</v>
      </c>
      <c r="O108" s="225">
        <f>调差材料基价表!E15*1.02</f>
        <v>440.67961165048513</v>
      </c>
      <c r="P108" s="225">
        <v>0</v>
      </c>
      <c r="Q108" s="225">
        <f t="shared" si="64"/>
        <v>9.3735922330097026</v>
      </c>
      <c r="R108" s="226">
        <v>0.1</v>
      </c>
      <c r="S108" s="227">
        <f t="shared" si="61"/>
        <v>47.805320388349486</v>
      </c>
      <c r="T108" s="228" t="s">
        <v>222</v>
      </c>
      <c r="U108" s="220" t="s">
        <v>254</v>
      </c>
    </row>
    <row r="109" spans="1:21" ht="52.5" outlineLevel="2">
      <c r="A109" s="233">
        <v>7</v>
      </c>
      <c r="B109" s="233">
        <v>2</v>
      </c>
      <c r="C109" s="272" t="s">
        <v>384</v>
      </c>
      <c r="D109" s="260" t="s">
        <v>391</v>
      </c>
      <c r="E109" s="260" t="s">
        <v>252</v>
      </c>
      <c r="F109" s="233" t="s">
        <v>162</v>
      </c>
      <c r="G109" s="223">
        <v>0</v>
      </c>
      <c r="H109" s="223">
        <f t="shared" si="62"/>
        <v>0</v>
      </c>
      <c r="I109" s="223">
        <f t="shared" si="63"/>
        <v>0</v>
      </c>
      <c r="J109" s="197"/>
      <c r="K109" s="224">
        <f t="shared" si="58"/>
        <v>597.40791961165087</v>
      </c>
      <c r="L109" s="224">
        <f t="shared" si="59"/>
        <v>49.327259417475759</v>
      </c>
      <c r="M109" s="224">
        <f t="shared" si="60"/>
        <v>548.08066019417515</v>
      </c>
      <c r="N109" s="225">
        <v>28</v>
      </c>
      <c r="O109" s="225">
        <f>调差材料基价表!E16*1.02</f>
        <v>460.48543689320422</v>
      </c>
      <c r="P109" s="225">
        <v>0</v>
      </c>
      <c r="Q109" s="225">
        <f t="shared" si="64"/>
        <v>9.7697087378640841</v>
      </c>
      <c r="R109" s="226">
        <v>0.1</v>
      </c>
      <c r="S109" s="227">
        <f t="shared" si="61"/>
        <v>49.825514563106836</v>
      </c>
      <c r="T109" s="228" t="s">
        <v>222</v>
      </c>
      <c r="U109" s="220" t="s">
        <v>254</v>
      </c>
    </row>
    <row r="110" spans="1:21" ht="52.5" outlineLevel="2">
      <c r="A110" s="233">
        <v>8</v>
      </c>
      <c r="B110" s="233">
        <v>2</v>
      </c>
      <c r="C110" s="272" t="s">
        <v>384</v>
      </c>
      <c r="D110" s="260" t="s">
        <v>392</v>
      </c>
      <c r="E110" s="260" t="s">
        <v>252</v>
      </c>
      <c r="F110" s="233" t="s">
        <v>162</v>
      </c>
      <c r="G110" s="223">
        <v>3304.6507616878198</v>
      </c>
      <c r="H110" s="223">
        <f t="shared" si="62"/>
        <v>2074281.6294057819</v>
      </c>
      <c r="I110" s="223">
        <f t="shared" si="63"/>
        <v>2074281.6294057819</v>
      </c>
      <c r="J110" s="197"/>
      <c r="K110" s="224">
        <f t="shared" si="58"/>
        <v>627.68557980582545</v>
      </c>
      <c r="L110" s="224">
        <f t="shared" si="59"/>
        <v>51.827249708737881</v>
      </c>
      <c r="M110" s="224">
        <f t="shared" si="60"/>
        <v>575.85833009708756</v>
      </c>
      <c r="N110" s="225">
        <v>28</v>
      </c>
      <c r="O110" s="225">
        <f>调差材料基价表!E17*1.02</f>
        <v>485.24271844660211</v>
      </c>
      <c r="P110" s="225">
        <v>0</v>
      </c>
      <c r="Q110" s="225">
        <f t="shared" si="64"/>
        <v>10.264854368932042</v>
      </c>
      <c r="R110" s="226">
        <v>0.1</v>
      </c>
      <c r="S110" s="227">
        <f t="shared" si="61"/>
        <v>52.350757281553413</v>
      </c>
      <c r="T110" s="228" t="s">
        <v>222</v>
      </c>
      <c r="U110" s="220" t="s">
        <v>254</v>
      </c>
    </row>
    <row r="111" spans="1:21" ht="52.5" outlineLevel="2">
      <c r="A111" s="233">
        <v>9</v>
      </c>
      <c r="B111" s="233">
        <v>2</v>
      </c>
      <c r="C111" s="272" t="s">
        <v>384</v>
      </c>
      <c r="D111" s="260" t="s">
        <v>393</v>
      </c>
      <c r="E111" s="260" t="s">
        <v>252</v>
      </c>
      <c r="F111" s="233" t="s">
        <v>162</v>
      </c>
      <c r="G111" s="223">
        <v>706.28640625000003</v>
      </c>
      <c r="H111" s="223">
        <f t="shared" si="62"/>
        <v>464710.49222420622</v>
      </c>
      <c r="I111" s="223">
        <f t="shared" si="63"/>
        <v>464710.49222420622</v>
      </c>
      <c r="J111" s="197"/>
      <c r="K111" s="224">
        <f t="shared" si="58"/>
        <v>657.96323999999993</v>
      </c>
      <c r="L111" s="224">
        <f t="shared" si="59"/>
        <v>54.327239999999996</v>
      </c>
      <c r="M111" s="224">
        <f t="shared" si="60"/>
        <v>603.63599999999997</v>
      </c>
      <c r="N111" s="225">
        <v>28</v>
      </c>
      <c r="O111" s="225">
        <f>调差材料基价表!E18*1.02</f>
        <v>510</v>
      </c>
      <c r="P111" s="225">
        <v>0</v>
      </c>
      <c r="Q111" s="225">
        <f t="shared" si="64"/>
        <v>10.76</v>
      </c>
      <c r="R111" s="226">
        <v>0.1</v>
      </c>
      <c r="S111" s="227">
        <f t="shared" si="61"/>
        <v>54.876000000000005</v>
      </c>
      <c r="T111" s="228" t="s">
        <v>222</v>
      </c>
      <c r="U111" s="220" t="s">
        <v>254</v>
      </c>
    </row>
    <row r="112" spans="1:21" ht="52.5" outlineLevel="2">
      <c r="A112" s="233">
        <v>10</v>
      </c>
      <c r="B112" s="233">
        <v>2</v>
      </c>
      <c r="C112" s="272" t="s">
        <v>384</v>
      </c>
      <c r="D112" s="260" t="s">
        <v>394</v>
      </c>
      <c r="E112" s="260" t="s">
        <v>252</v>
      </c>
      <c r="F112" s="233" t="s">
        <v>162</v>
      </c>
      <c r="G112" s="223">
        <v>2903.6087823932899</v>
      </c>
      <c r="H112" s="223">
        <f t="shared" si="62"/>
        <v>2015965.2182160944</v>
      </c>
      <c r="I112" s="223">
        <f t="shared" si="63"/>
        <v>2015965.2182160944</v>
      </c>
      <c r="J112" s="197"/>
      <c r="K112" s="224">
        <f t="shared" si="58"/>
        <v>694.29643223300968</v>
      </c>
      <c r="L112" s="224">
        <f t="shared" si="59"/>
        <v>57.327228349514556</v>
      </c>
      <c r="M112" s="224">
        <f t="shared" si="60"/>
        <v>636.96920388349508</v>
      </c>
      <c r="N112" s="225">
        <v>28</v>
      </c>
      <c r="O112" s="225">
        <f>调差材料基价表!E19*1.02</f>
        <v>539.70873786407765</v>
      </c>
      <c r="P112" s="225">
        <v>0</v>
      </c>
      <c r="Q112" s="225">
        <f t="shared" si="64"/>
        <v>11.354174757281553</v>
      </c>
      <c r="R112" s="226">
        <v>0.1</v>
      </c>
      <c r="S112" s="227">
        <f t="shared" si="61"/>
        <v>57.906291262135916</v>
      </c>
      <c r="T112" s="228" t="s">
        <v>222</v>
      </c>
      <c r="U112" s="220" t="s">
        <v>254</v>
      </c>
    </row>
    <row r="113" spans="1:21" ht="52.5" outlineLevel="2">
      <c r="A113" s="233">
        <v>11</v>
      </c>
      <c r="B113" s="233">
        <v>2</v>
      </c>
      <c r="C113" s="272" t="s">
        <v>384</v>
      </c>
      <c r="D113" s="260" t="s">
        <v>395</v>
      </c>
      <c r="E113" s="260" t="s">
        <v>252</v>
      </c>
      <c r="F113" s="233" t="s">
        <v>162</v>
      </c>
      <c r="G113" s="223">
        <v>0</v>
      </c>
      <c r="H113" s="223">
        <f t="shared" si="62"/>
        <v>0</v>
      </c>
      <c r="I113" s="223">
        <f t="shared" si="63"/>
        <v>0</v>
      </c>
      <c r="J113" s="197"/>
      <c r="K113" s="224">
        <f t="shared" si="58"/>
        <v>748.79622058252369</v>
      </c>
      <c r="L113" s="224">
        <f t="shared" si="59"/>
        <v>61.827210873786356</v>
      </c>
      <c r="M113" s="224">
        <f t="shared" si="60"/>
        <v>686.9690097087373</v>
      </c>
      <c r="N113" s="225">
        <v>28</v>
      </c>
      <c r="O113" s="225">
        <f>调差材料基价表!E20*1.02</f>
        <v>584.27184466019366</v>
      </c>
      <c r="P113" s="225">
        <v>0</v>
      </c>
      <c r="Q113" s="225">
        <f t="shared" si="64"/>
        <v>12.245436893203873</v>
      </c>
      <c r="R113" s="226">
        <v>0.1</v>
      </c>
      <c r="S113" s="227">
        <f t="shared" si="61"/>
        <v>62.451728155339758</v>
      </c>
      <c r="T113" s="228" t="s">
        <v>222</v>
      </c>
      <c r="U113" s="220" t="s">
        <v>254</v>
      </c>
    </row>
    <row r="114" spans="1:21" ht="178.5" outlineLevel="2">
      <c r="A114" s="233">
        <v>12</v>
      </c>
      <c r="B114" s="233">
        <v>2</v>
      </c>
      <c r="C114" s="273" t="s">
        <v>396</v>
      </c>
      <c r="D114" s="273" t="s">
        <v>397</v>
      </c>
      <c r="E114" s="260"/>
      <c r="F114" s="233" t="s">
        <v>162</v>
      </c>
      <c r="G114" s="223">
        <v>4241.7436504677999</v>
      </c>
      <c r="H114" s="223">
        <f t="shared" si="62"/>
        <v>167833.07101805942</v>
      </c>
      <c r="I114" s="223">
        <f t="shared" si="63"/>
        <v>167833.07101805942</v>
      </c>
      <c r="J114" s="197"/>
      <c r="K114" s="224">
        <f t="shared" si="58"/>
        <v>39.566999999999993</v>
      </c>
      <c r="L114" s="224">
        <f t="shared" si="59"/>
        <v>3.2669999999999995</v>
      </c>
      <c r="M114" s="224">
        <f t="shared" si="60"/>
        <v>36.299999999999997</v>
      </c>
      <c r="N114" s="225">
        <v>0</v>
      </c>
      <c r="O114" s="225">
        <v>0</v>
      </c>
      <c r="P114" s="225">
        <v>33</v>
      </c>
      <c r="Q114" s="225">
        <v>0</v>
      </c>
      <c r="R114" s="226">
        <v>0.1</v>
      </c>
      <c r="S114" s="227">
        <f t="shared" si="61"/>
        <v>3.3000000000000003</v>
      </c>
      <c r="T114" s="228"/>
      <c r="U114" s="220"/>
    </row>
    <row r="115" spans="1:21" ht="52.5" outlineLevel="2">
      <c r="A115" s="233">
        <v>13</v>
      </c>
      <c r="B115" s="233">
        <v>2</v>
      </c>
      <c r="C115" s="274" t="s">
        <v>398</v>
      </c>
      <c r="D115" s="260" t="s">
        <v>399</v>
      </c>
      <c r="E115" s="260" t="s">
        <v>252</v>
      </c>
      <c r="F115" s="233" t="s">
        <v>162</v>
      </c>
      <c r="G115" s="223">
        <v>4.5022389481707297</v>
      </c>
      <c r="H115" s="223">
        <f t="shared" si="62"/>
        <v>3502.0171635971324</v>
      </c>
      <c r="I115" s="223">
        <f t="shared" si="63"/>
        <v>3502.0171635971324</v>
      </c>
      <c r="J115" s="197"/>
      <c r="K115" s="224">
        <f t="shared" si="58"/>
        <v>777.83902718446564</v>
      </c>
      <c r="L115" s="224">
        <f t="shared" si="59"/>
        <v>64.225240776698996</v>
      </c>
      <c r="M115" s="224">
        <f t="shared" si="60"/>
        <v>713.61378640776661</v>
      </c>
      <c r="N115" s="225">
        <v>230</v>
      </c>
      <c r="O115" s="225">
        <f>调差材料基价表!E12*1.02</f>
        <v>406.01941747572772</v>
      </c>
      <c r="P115" s="225">
        <v>0</v>
      </c>
      <c r="Q115" s="225">
        <f>(N115+O115)*2%</f>
        <v>12.720388349514556</v>
      </c>
      <c r="R115" s="226">
        <v>0.1</v>
      </c>
      <c r="S115" s="227">
        <f t="shared" si="61"/>
        <v>64.87398058252424</v>
      </c>
      <c r="T115" s="228" t="s">
        <v>222</v>
      </c>
      <c r="U115" s="220" t="s">
        <v>254</v>
      </c>
    </row>
    <row r="116" spans="1:21" ht="52.5" outlineLevel="2">
      <c r="A116" s="233">
        <v>14</v>
      </c>
      <c r="B116" s="233">
        <v>2</v>
      </c>
      <c r="C116" s="274" t="s">
        <v>400</v>
      </c>
      <c r="D116" s="260" t="s">
        <v>401</v>
      </c>
      <c r="E116" s="260" t="s">
        <v>252</v>
      </c>
      <c r="F116" s="233" t="s">
        <v>162</v>
      </c>
      <c r="G116" s="223">
        <v>0.46424293955201001</v>
      </c>
      <c r="H116" s="223">
        <f t="shared" si="62"/>
        <v>366.72875246691245</v>
      </c>
      <c r="I116" s="223">
        <f t="shared" si="63"/>
        <v>366.72875246691245</v>
      </c>
      <c r="J116" s="197"/>
      <c r="K116" s="224">
        <f t="shared" si="58"/>
        <v>789.95009126213574</v>
      </c>
      <c r="L116" s="224">
        <f t="shared" si="59"/>
        <v>65.225236893203871</v>
      </c>
      <c r="M116" s="224">
        <f t="shared" si="60"/>
        <v>724.72485436893191</v>
      </c>
      <c r="N116" s="225">
        <v>230</v>
      </c>
      <c r="O116" s="225">
        <f>调差材料基价表!E13*1.02</f>
        <v>415.92233009708724</v>
      </c>
      <c r="P116" s="225">
        <v>0</v>
      </c>
      <c r="Q116" s="225">
        <f t="shared" ref="Q116:Q118" si="65">(N116+O116)*2%</f>
        <v>12.918446601941746</v>
      </c>
      <c r="R116" s="226">
        <v>0.1</v>
      </c>
      <c r="S116" s="227">
        <f t="shared" si="61"/>
        <v>65.884077669902908</v>
      </c>
      <c r="T116" s="228" t="s">
        <v>222</v>
      </c>
      <c r="U116" s="220" t="s">
        <v>254</v>
      </c>
    </row>
    <row r="117" spans="1:21" ht="52.5" outlineLevel="2">
      <c r="A117" s="233">
        <v>15</v>
      </c>
      <c r="B117" s="233">
        <v>2</v>
      </c>
      <c r="C117" s="274" t="s">
        <v>402</v>
      </c>
      <c r="D117" s="260" t="s">
        <v>399</v>
      </c>
      <c r="E117" s="260" t="s">
        <v>252</v>
      </c>
      <c r="F117" s="233" t="s">
        <v>162</v>
      </c>
      <c r="G117" s="223">
        <v>11.7058212652439</v>
      </c>
      <c r="H117" s="223">
        <f t="shared" si="62"/>
        <v>9105.244625352545</v>
      </c>
      <c r="I117" s="223">
        <f t="shared" si="63"/>
        <v>9105.244625352545</v>
      </c>
      <c r="J117" s="197"/>
      <c r="K117" s="224">
        <f t="shared" si="58"/>
        <v>777.83902718446564</v>
      </c>
      <c r="L117" s="224">
        <f t="shared" si="59"/>
        <v>64.225240776698996</v>
      </c>
      <c r="M117" s="224">
        <f t="shared" si="60"/>
        <v>713.61378640776661</v>
      </c>
      <c r="N117" s="225">
        <v>230</v>
      </c>
      <c r="O117" s="225">
        <f>O115</f>
        <v>406.01941747572772</v>
      </c>
      <c r="P117" s="225">
        <v>0</v>
      </c>
      <c r="Q117" s="225">
        <f t="shared" si="65"/>
        <v>12.720388349514556</v>
      </c>
      <c r="R117" s="226">
        <v>0.1</v>
      </c>
      <c r="S117" s="227">
        <f t="shared" si="61"/>
        <v>64.87398058252424</v>
      </c>
      <c r="T117" s="228" t="s">
        <v>222</v>
      </c>
      <c r="U117" s="220" t="s">
        <v>254</v>
      </c>
    </row>
    <row r="118" spans="1:21" ht="52.5" outlineLevel="2">
      <c r="A118" s="233">
        <v>16</v>
      </c>
      <c r="B118" s="233">
        <v>2</v>
      </c>
      <c r="C118" s="274" t="s">
        <v>403</v>
      </c>
      <c r="D118" s="260" t="s">
        <v>401</v>
      </c>
      <c r="E118" s="260" t="s">
        <v>252</v>
      </c>
      <c r="F118" s="233" t="s">
        <v>162</v>
      </c>
      <c r="G118" s="223">
        <v>13.5132336729058</v>
      </c>
      <c r="H118" s="223">
        <f t="shared" si="62"/>
        <v>10674.780173158502</v>
      </c>
      <c r="I118" s="223">
        <f t="shared" si="63"/>
        <v>10674.780173158502</v>
      </c>
      <c r="J118" s="197"/>
      <c r="K118" s="224">
        <f t="shared" si="58"/>
        <v>789.95009126213574</v>
      </c>
      <c r="L118" s="224">
        <f t="shared" si="59"/>
        <v>65.225236893203871</v>
      </c>
      <c r="M118" s="224">
        <f t="shared" si="60"/>
        <v>724.72485436893191</v>
      </c>
      <c r="N118" s="225">
        <v>230</v>
      </c>
      <c r="O118" s="225">
        <f>O116</f>
        <v>415.92233009708724</v>
      </c>
      <c r="P118" s="225">
        <v>0</v>
      </c>
      <c r="Q118" s="225">
        <f t="shared" si="65"/>
        <v>12.918446601941746</v>
      </c>
      <c r="R118" s="226">
        <v>0.1</v>
      </c>
      <c r="S118" s="227">
        <f t="shared" si="61"/>
        <v>65.884077669902908</v>
      </c>
      <c r="T118" s="228" t="s">
        <v>222</v>
      </c>
      <c r="U118" s="220" t="s">
        <v>254</v>
      </c>
    </row>
    <row r="119" spans="1:21" ht="63" outlineLevel="2">
      <c r="A119" s="233">
        <v>17</v>
      </c>
      <c r="B119" s="233">
        <v>2</v>
      </c>
      <c r="C119" s="260" t="s">
        <v>404</v>
      </c>
      <c r="D119" s="260" t="s">
        <v>405</v>
      </c>
      <c r="E119" s="260" t="s">
        <v>231</v>
      </c>
      <c r="F119" s="233" t="s">
        <v>265</v>
      </c>
      <c r="G119" s="223">
        <v>308.850020653846</v>
      </c>
      <c r="H119" s="223">
        <f t="shared" si="62"/>
        <v>42363.598392997184</v>
      </c>
      <c r="I119" s="223">
        <f t="shared" si="63"/>
        <v>42363.598392997184</v>
      </c>
      <c r="J119" s="197"/>
      <c r="K119" s="224">
        <f t="shared" si="58"/>
        <v>137.16560000000001</v>
      </c>
      <c r="L119" s="224">
        <f t="shared" si="59"/>
        <v>11.3256</v>
      </c>
      <c r="M119" s="224">
        <f t="shared" si="60"/>
        <v>125.84</v>
      </c>
      <c r="N119" s="225">
        <v>74.8</v>
      </c>
      <c r="O119" s="225">
        <v>39.6</v>
      </c>
      <c r="P119" s="225"/>
      <c r="Q119" s="225">
        <v>0</v>
      </c>
      <c r="R119" s="226">
        <v>0.1</v>
      </c>
      <c r="S119" s="227">
        <f t="shared" si="61"/>
        <v>11.440000000000001</v>
      </c>
      <c r="T119" s="228"/>
      <c r="U119" s="220"/>
    </row>
    <row r="120" spans="1:21" ht="73.5" outlineLevel="2">
      <c r="A120" s="233">
        <v>18</v>
      </c>
      <c r="B120" s="233">
        <v>2</v>
      </c>
      <c r="C120" s="260" t="s">
        <v>406</v>
      </c>
      <c r="D120" s="260" t="s">
        <v>407</v>
      </c>
      <c r="E120" s="260" t="s">
        <v>231</v>
      </c>
      <c r="F120" s="233" t="s">
        <v>265</v>
      </c>
      <c r="G120" s="223">
        <f>74263.5441154894+17034.66</f>
        <v>91298.20411548941</v>
      </c>
      <c r="H120" s="223">
        <f t="shared" si="62"/>
        <v>4979798.7395105492</v>
      </c>
      <c r="I120" s="223">
        <f t="shared" si="63"/>
        <v>4979798.7395105492</v>
      </c>
      <c r="J120" s="197"/>
      <c r="K120" s="224">
        <f t="shared" si="58"/>
        <v>54.544323053838575</v>
      </c>
      <c r="L120" s="224">
        <f t="shared" si="59"/>
        <v>4.5036597016930928</v>
      </c>
      <c r="M120" s="224">
        <f t="shared" si="60"/>
        <v>50.040663352145479</v>
      </c>
      <c r="N120" s="225">
        <v>30</v>
      </c>
      <c r="O120" s="225">
        <f>60/1.67445*1.15/5+7.25</f>
        <v>15.491512138314073</v>
      </c>
      <c r="P120" s="225"/>
      <c r="Q120" s="225">
        <v>0</v>
      </c>
      <c r="R120" s="226">
        <v>0.1</v>
      </c>
      <c r="S120" s="227">
        <f t="shared" si="61"/>
        <v>4.549151213831407</v>
      </c>
      <c r="T120" s="228"/>
      <c r="U120" s="220"/>
    </row>
    <row r="121" spans="1:21" ht="42" outlineLevel="1">
      <c r="A121" s="233">
        <v>19</v>
      </c>
      <c r="B121" s="233">
        <v>2</v>
      </c>
      <c r="C121" s="272" t="s">
        <v>408</v>
      </c>
      <c r="D121" s="260" t="s">
        <v>409</v>
      </c>
      <c r="E121" s="260" t="s">
        <v>410</v>
      </c>
      <c r="F121" s="233" t="s">
        <v>238</v>
      </c>
      <c r="G121" s="223">
        <v>312.72488169826198</v>
      </c>
      <c r="H121" s="223">
        <f t="shared" ref="H121:H130" si="66">G121*K121</f>
        <v>1674558.5566756614</v>
      </c>
      <c r="I121" s="223">
        <f t="shared" ref="I121:I130" si="67">G121*K121*(1+J121)</f>
        <v>1674558.5566756614</v>
      </c>
      <c r="J121" s="197"/>
      <c r="K121" s="224">
        <f t="shared" ref="K121:K145" si="68">L121+M121</f>
        <v>5354.7340000000004</v>
      </c>
      <c r="L121" s="224">
        <f t="shared" ref="L121:L145" si="69">M121*0.09</f>
        <v>442.13400000000001</v>
      </c>
      <c r="M121" s="224">
        <f t="shared" ref="M121:M145" si="70">N121+O121+P121+Q121+S121</f>
        <v>4912.6000000000004</v>
      </c>
      <c r="N121" s="225">
        <v>800</v>
      </c>
      <c r="O121" s="225">
        <f>一级钢综合*1.02</f>
        <v>3621</v>
      </c>
      <c r="P121" s="225">
        <v>45</v>
      </c>
      <c r="Q121" s="225">
        <v>0</v>
      </c>
      <c r="R121" s="226">
        <v>0.1</v>
      </c>
      <c r="S121" s="227">
        <f t="shared" ref="S121:S145" si="71">SUM(N121:Q121)*R121</f>
        <v>446.6</v>
      </c>
      <c r="T121" s="228" t="s">
        <v>253</v>
      </c>
      <c r="U121" s="220"/>
    </row>
    <row r="122" spans="1:21" ht="42" outlineLevel="1">
      <c r="A122" s="233">
        <v>20</v>
      </c>
      <c r="B122" s="233">
        <v>2</v>
      </c>
      <c r="C122" s="272" t="s">
        <v>411</v>
      </c>
      <c r="D122" s="260" t="s">
        <v>412</v>
      </c>
      <c r="E122" s="260" t="s">
        <v>410</v>
      </c>
      <c r="F122" s="233" t="s">
        <v>238</v>
      </c>
      <c r="G122" s="223">
        <v>1065.08811854643</v>
      </c>
      <c r="H122" s="223">
        <f t="shared" si="66"/>
        <v>5703263.5613765996</v>
      </c>
      <c r="I122" s="223">
        <f t="shared" si="67"/>
        <v>5703263.5613765996</v>
      </c>
      <c r="J122" s="197"/>
      <c r="K122" s="224">
        <f t="shared" si="68"/>
        <v>5354.7340000000004</v>
      </c>
      <c r="L122" s="224">
        <f t="shared" si="69"/>
        <v>442.13400000000001</v>
      </c>
      <c r="M122" s="224">
        <f t="shared" si="70"/>
        <v>4912.6000000000004</v>
      </c>
      <c r="N122" s="225">
        <v>800</v>
      </c>
      <c r="O122" s="225">
        <f>一级钢综合*1.02</f>
        <v>3621</v>
      </c>
      <c r="P122" s="225">
        <v>45</v>
      </c>
      <c r="Q122" s="225">
        <v>0</v>
      </c>
      <c r="R122" s="226">
        <v>0.1</v>
      </c>
      <c r="S122" s="227">
        <f t="shared" si="71"/>
        <v>446.6</v>
      </c>
      <c r="T122" s="228" t="s">
        <v>253</v>
      </c>
      <c r="U122" s="220"/>
    </row>
    <row r="123" spans="1:21" ht="42" outlineLevel="1">
      <c r="A123" s="233">
        <v>21</v>
      </c>
      <c r="B123" s="221">
        <v>2</v>
      </c>
      <c r="C123" s="229" t="s">
        <v>411</v>
      </c>
      <c r="D123" s="230" t="s">
        <v>413</v>
      </c>
      <c r="E123" s="230" t="s">
        <v>414</v>
      </c>
      <c r="F123" s="221" t="s">
        <v>238</v>
      </c>
      <c r="G123" s="223">
        <v>0</v>
      </c>
      <c r="H123" s="223">
        <f t="shared" si="66"/>
        <v>0</v>
      </c>
      <c r="I123" s="223">
        <f t="shared" si="67"/>
        <v>0</v>
      </c>
      <c r="J123" s="197"/>
      <c r="K123" s="224">
        <f t="shared" si="68"/>
        <v>5354.7340000000004</v>
      </c>
      <c r="L123" s="224">
        <f t="shared" si="69"/>
        <v>442.13400000000001</v>
      </c>
      <c r="M123" s="224">
        <f t="shared" si="70"/>
        <v>4912.6000000000004</v>
      </c>
      <c r="N123" s="225">
        <v>800</v>
      </c>
      <c r="O123" s="225">
        <f>三级钢*1.02</f>
        <v>3621</v>
      </c>
      <c r="P123" s="225">
        <v>45</v>
      </c>
      <c r="Q123" s="225">
        <v>0</v>
      </c>
      <c r="R123" s="226">
        <v>0.1</v>
      </c>
      <c r="S123" s="227">
        <f t="shared" si="71"/>
        <v>446.6</v>
      </c>
      <c r="T123" s="228" t="s">
        <v>253</v>
      </c>
      <c r="U123" s="220"/>
    </row>
    <row r="124" spans="1:21" ht="42" outlineLevel="1">
      <c r="A124" s="233">
        <v>22</v>
      </c>
      <c r="B124" s="221">
        <v>2</v>
      </c>
      <c r="C124" s="229" t="s">
        <v>411</v>
      </c>
      <c r="D124" s="230" t="s">
        <v>415</v>
      </c>
      <c r="E124" s="230" t="s">
        <v>414</v>
      </c>
      <c r="F124" s="221" t="s">
        <v>238</v>
      </c>
      <c r="G124" s="223">
        <v>0</v>
      </c>
      <c r="H124" s="223">
        <f t="shared" si="66"/>
        <v>0</v>
      </c>
      <c r="I124" s="223">
        <f t="shared" si="67"/>
        <v>0</v>
      </c>
      <c r="J124" s="197"/>
      <c r="K124" s="224">
        <f t="shared" si="68"/>
        <v>5354.7340000000004</v>
      </c>
      <c r="L124" s="224">
        <f t="shared" si="69"/>
        <v>442.13400000000001</v>
      </c>
      <c r="M124" s="224">
        <f t="shared" si="70"/>
        <v>4912.6000000000004</v>
      </c>
      <c r="N124" s="225">
        <v>800</v>
      </c>
      <c r="O124" s="225">
        <f>三级钢*1.02</f>
        <v>3621</v>
      </c>
      <c r="P124" s="225">
        <v>45</v>
      </c>
      <c r="Q124" s="225">
        <v>0</v>
      </c>
      <c r="R124" s="226">
        <v>0.1</v>
      </c>
      <c r="S124" s="227">
        <f t="shared" si="71"/>
        <v>446.6</v>
      </c>
      <c r="T124" s="228" t="s">
        <v>253</v>
      </c>
      <c r="U124" s="220"/>
    </row>
    <row r="125" spans="1:21" ht="42" outlineLevel="1">
      <c r="A125" s="233">
        <v>23</v>
      </c>
      <c r="B125" s="221">
        <v>2</v>
      </c>
      <c r="C125" s="229" t="s">
        <v>411</v>
      </c>
      <c r="D125" s="230" t="s">
        <v>416</v>
      </c>
      <c r="E125" s="230" t="s">
        <v>414</v>
      </c>
      <c r="F125" s="221" t="s">
        <v>238</v>
      </c>
      <c r="G125" s="223">
        <v>0</v>
      </c>
      <c r="H125" s="223">
        <f t="shared" si="66"/>
        <v>0</v>
      </c>
      <c r="I125" s="223">
        <f t="shared" si="67"/>
        <v>0</v>
      </c>
      <c r="J125" s="197"/>
      <c r="K125" s="224">
        <f t="shared" si="68"/>
        <v>5354.7340000000004</v>
      </c>
      <c r="L125" s="224">
        <f t="shared" si="69"/>
        <v>442.13400000000001</v>
      </c>
      <c r="M125" s="224">
        <f t="shared" si="70"/>
        <v>4912.6000000000004</v>
      </c>
      <c r="N125" s="225">
        <v>800</v>
      </c>
      <c r="O125" s="225">
        <f>四级钢*1.02</f>
        <v>3621</v>
      </c>
      <c r="P125" s="225">
        <v>45</v>
      </c>
      <c r="Q125" s="225">
        <v>0</v>
      </c>
      <c r="R125" s="226">
        <v>0.1</v>
      </c>
      <c r="S125" s="227">
        <f t="shared" si="71"/>
        <v>446.6</v>
      </c>
      <c r="T125" s="228" t="s">
        <v>253</v>
      </c>
      <c r="U125" s="220"/>
    </row>
    <row r="126" spans="1:21" ht="42" outlineLevel="1">
      <c r="A126" s="233">
        <v>24</v>
      </c>
      <c r="B126" s="221">
        <v>2</v>
      </c>
      <c r="C126" s="229" t="s">
        <v>411</v>
      </c>
      <c r="D126" s="230" t="s">
        <v>417</v>
      </c>
      <c r="E126" s="230" t="s">
        <v>414</v>
      </c>
      <c r="F126" s="221" t="s">
        <v>238</v>
      </c>
      <c r="G126" s="223">
        <v>0</v>
      </c>
      <c r="H126" s="223">
        <f t="shared" si="66"/>
        <v>0</v>
      </c>
      <c r="I126" s="223">
        <f t="shared" si="67"/>
        <v>0</v>
      </c>
      <c r="J126" s="197"/>
      <c r="K126" s="224">
        <f t="shared" si="68"/>
        <v>5354.7340000000004</v>
      </c>
      <c r="L126" s="224">
        <f t="shared" si="69"/>
        <v>442.13400000000001</v>
      </c>
      <c r="M126" s="224">
        <f t="shared" si="70"/>
        <v>4912.6000000000004</v>
      </c>
      <c r="N126" s="225">
        <v>800</v>
      </c>
      <c r="O126" s="225">
        <f>四级抗震带E钢筋*1.02</f>
        <v>3621</v>
      </c>
      <c r="P126" s="225">
        <v>45</v>
      </c>
      <c r="Q126" s="225">
        <v>0</v>
      </c>
      <c r="R126" s="226">
        <v>0.1</v>
      </c>
      <c r="S126" s="227">
        <f t="shared" si="71"/>
        <v>446.6</v>
      </c>
      <c r="T126" s="228" t="s">
        <v>253</v>
      </c>
      <c r="U126" s="220"/>
    </row>
    <row r="127" spans="1:21" ht="42" outlineLevel="1">
      <c r="A127" s="233">
        <v>25</v>
      </c>
      <c r="B127" s="221">
        <v>2</v>
      </c>
      <c r="C127" s="229" t="s">
        <v>411</v>
      </c>
      <c r="D127" s="230" t="s">
        <v>418</v>
      </c>
      <c r="E127" s="230" t="s">
        <v>419</v>
      </c>
      <c r="F127" s="221" t="s">
        <v>238</v>
      </c>
      <c r="G127" s="223">
        <v>0</v>
      </c>
      <c r="H127" s="223">
        <f t="shared" si="66"/>
        <v>0</v>
      </c>
      <c r="I127" s="223">
        <f t="shared" si="67"/>
        <v>0</v>
      </c>
      <c r="J127" s="197"/>
      <c r="K127" s="224">
        <f t="shared" si="68"/>
        <v>5354.7340000000004</v>
      </c>
      <c r="L127" s="224">
        <f t="shared" si="69"/>
        <v>442.13400000000001</v>
      </c>
      <c r="M127" s="224">
        <f t="shared" si="70"/>
        <v>4912.6000000000004</v>
      </c>
      <c r="N127" s="225">
        <v>800</v>
      </c>
      <c r="O127" s="225">
        <f>冷轧带肋钢材*1.02</f>
        <v>3621</v>
      </c>
      <c r="P127" s="225">
        <v>45</v>
      </c>
      <c r="Q127" s="225">
        <v>0</v>
      </c>
      <c r="R127" s="226">
        <v>0.1</v>
      </c>
      <c r="S127" s="227">
        <f t="shared" si="71"/>
        <v>446.6</v>
      </c>
      <c r="T127" s="228" t="s">
        <v>253</v>
      </c>
      <c r="U127" s="220"/>
    </row>
    <row r="128" spans="1:21" ht="42" outlineLevel="1">
      <c r="A128" s="233">
        <v>26</v>
      </c>
      <c r="B128" s="221">
        <v>2</v>
      </c>
      <c r="C128" s="229" t="s">
        <v>420</v>
      </c>
      <c r="D128" s="230" t="s">
        <v>409</v>
      </c>
      <c r="E128" s="230" t="s">
        <v>419</v>
      </c>
      <c r="F128" s="221" t="s">
        <v>238</v>
      </c>
      <c r="G128" s="223">
        <v>0</v>
      </c>
      <c r="H128" s="223">
        <f t="shared" si="66"/>
        <v>0</v>
      </c>
      <c r="I128" s="223">
        <f t="shared" si="67"/>
        <v>0</v>
      </c>
      <c r="J128" s="197"/>
      <c r="K128" s="224">
        <f t="shared" si="68"/>
        <v>5354.7340000000004</v>
      </c>
      <c r="L128" s="224">
        <f t="shared" si="69"/>
        <v>442.13400000000001</v>
      </c>
      <c r="M128" s="224">
        <f t="shared" si="70"/>
        <v>4912.6000000000004</v>
      </c>
      <c r="N128" s="225">
        <v>800</v>
      </c>
      <c r="O128" s="225">
        <f>调差材料基价表!E4*1.02</f>
        <v>3621</v>
      </c>
      <c r="P128" s="225">
        <v>45</v>
      </c>
      <c r="Q128" s="225">
        <v>0</v>
      </c>
      <c r="R128" s="226">
        <v>0.1</v>
      </c>
      <c r="S128" s="227">
        <f t="shared" si="71"/>
        <v>446.6</v>
      </c>
      <c r="T128" s="228" t="s">
        <v>253</v>
      </c>
      <c r="U128" s="220"/>
    </row>
    <row r="129" spans="1:22" ht="42" outlineLevel="1">
      <c r="A129" s="233">
        <v>27</v>
      </c>
      <c r="B129" s="221">
        <v>2</v>
      </c>
      <c r="C129" s="229" t="s">
        <v>421</v>
      </c>
      <c r="D129" s="230" t="s">
        <v>412</v>
      </c>
      <c r="E129" s="230" t="s">
        <v>419</v>
      </c>
      <c r="F129" s="221" t="s">
        <v>238</v>
      </c>
      <c r="G129" s="223">
        <v>0</v>
      </c>
      <c r="H129" s="223">
        <f t="shared" si="66"/>
        <v>0</v>
      </c>
      <c r="I129" s="223">
        <f t="shared" si="67"/>
        <v>0</v>
      </c>
      <c r="J129" s="197"/>
      <c r="K129" s="224">
        <f t="shared" si="68"/>
        <v>5354.7340000000004</v>
      </c>
      <c r="L129" s="224">
        <f t="shared" si="69"/>
        <v>442.13400000000001</v>
      </c>
      <c r="M129" s="224">
        <f t="shared" si="70"/>
        <v>4912.6000000000004</v>
      </c>
      <c r="N129" s="225">
        <v>800</v>
      </c>
      <c r="O129" s="225">
        <f>调差材料基价表!E4*1.02</f>
        <v>3621</v>
      </c>
      <c r="P129" s="225">
        <v>45</v>
      </c>
      <c r="Q129" s="225">
        <v>0</v>
      </c>
      <c r="R129" s="226">
        <v>0.1</v>
      </c>
      <c r="S129" s="227">
        <f t="shared" si="71"/>
        <v>446.6</v>
      </c>
      <c r="T129" s="228" t="s">
        <v>253</v>
      </c>
      <c r="U129" s="220"/>
    </row>
    <row r="130" spans="1:22" ht="21" outlineLevel="1">
      <c r="A130" s="233">
        <v>28</v>
      </c>
      <c r="B130" s="221">
        <v>2</v>
      </c>
      <c r="C130" s="229" t="s">
        <v>422</v>
      </c>
      <c r="D130" s="230" t="s">
        <v>423</v>
      </c>
      <c r="E130" s="230" t="s">
        <v>424</v>
      </c>
      <c r="F130" s="221" t="s">
        <v>238</v>
      </c>
      <c r="G130" s="223">
        <v>0</v>
      </c>
      <c r="H130" s="223">
        <f t="shared" si="66"/>
        <v>0</v>
      </c>
      <c r="I130" s="223">
        <f t="shared" si="67"/>
        <v>0</v>
      </c>
      <c r="J130" s="197"/>
      <c r="K130" s="224">
        <f t="shared" si="68"/>
        <v>6194.0340000000006</v>
      </c>
      <c r="L130" s="224">
        <f t="shared" si="69"/>
        <v>511.43400000000003</v>
      </c>
      <c r="M130" s="224">
        <f t="shared" si="70"/>
        <v>5682.6</v>
      </c>
      <c r="N130" s="225">
        <v>1500</v>
      </c>
      <c r="O130" s="225">
        <f>一级钢综合*1.02</f>
        <v>3621</v>
      </c>
      <c r="P130" s="225">
        <v>45</v>
      </c>
      <c r="Q130" s="225">
        <v>0</v>
      </c>
      <c r="R130" s="226">
        <v>0.1</v>
      </c>
      <c r="S130" s="227">
        <f t="shared" si="71"/>
        <v>516.6</v>
      </c>
      <c r="T130" s="228" t="s">
        <v>253</v>
      </c>
      <c r="U130" s="220"/>
    </row>
    <row r="131" spans="1:22">
      <c r="A131" s="221"/>
      <c r="B131" s="221"/>
      <c r="C131" s="275" t="s">
        <v>248</v>
      </c>
      <c r="D131" s="230"/>
      <c r="E131" s="230"/>
      <c r="F131" s="221"/>
      <c r="G131" s="223">
        <v>0</v>
      </c>
      <c r="H131" s="212">
        <f>SUM(H103:H130)</f>
        <v>18403588.799459442</v>
      </c>
      <c r="I131" s="212">
        <f>SUM(I103:I130)</f>
        <v>18403588.799459442</v>
      </c>
      <c r="J131" s="226"/>
      <c r="K131" s="224">
        <f t="shared" si="68"/>
        <v>0</v>
      </c>
      <c r="L131" s="224">
        <f t="shared" si="69"/>
        <v>0</v>
      </c>
      <c r="M131" s="224">
        <f t="shared" si="70"/>
        <v>0</v>
      </c>
      <c r="N131" s="225"/>
      <c r="O131" s="225"/>
      <c r="P131" s="225"/>
      <c r="Q131" s="225"/>
      <c r="R131" s="226">
        <v>0.1</v>
      </c>
      <c r="S131" s="227">
        <f t="shared" si="71"/>
        <v>0</v>
      </c>
      <c r="T131" s="228"/>
      <c r="U131" s="220"/>
    </row>
    <row r="132" spans="1:22" ht="21">
      <c r="A132" s="209" t="s">
        <v>425</v>
      </c>
      <c r="B132" s="209">
        <v>1</v>
      </c>
      <c r="C132" s="210" t="s">
        <v>426</v>
      </c>
      <c r="D132" s="211"/>
      <c r="E132" s="211"/>
      <c r="F132" s="221"/>
      <c r="G132" s="223">
        <v>0</v>
      </c>
      <c r="H132" s="223"/>
      <c r="I132" s="223"/>
      <c r="J132" s="226"/>
      <c r="K132" s="224">
        <f t="shared" si="68"/>
        <v>0</v>
      </c>
      <c r="L132" s="224">
        <f t="shared" si="69"/>
        <v>0</v>
      </c>
      <c r="M132" s="224">
        <f t="shared" si="70"/>
        <v>0</v>
      </c>
      <c r="N132" s="225"/>
      <c r="O132" s="225"/>
      <c r="P132" s="225"/>
      <c r="Q132" s="225"/>
      <c r="R132" s="226">
        <v>0.1</v>
      </c>
      <c r="S132" s="227">
        <f t="shared" si="71"/>
        <v>0</v>
      </c>
      <c r="T132" s="238"/>
      <c r="U132" s="220"/>
    </row>
    <row r="133" spans="1:22" ht="84" outlineLevel="1">
      <c r="A133" s="221">
        <v>1</v>
      </c>
      <c r="B133" s="221">
        <v>2</v>
      </c>
      <c r="C133" s="220" t="s">
        <v>427</v>
      </c>
      <c r="D133" s="222" t="s">
        <v>263</v>
      </c>
      <c r="E133" s="222" t="s">
        <v>428</v>
      </c>
      <c r="F133" s="221" t="s">
        <v>265</v>
      </c>
      <c r="G133" s="223">
        <v>0</v>
      </c>
      <c r="H133" s="223">
        <f t="shared" ref="H133:H145" si="72">G133*K133</f>
        <v>0</v>
      </c>
      <c r="I133" s="223">
        <f t="shared" ref="I133:I145" si="73">G133*K133*(1+J133)</f>
        <v>0</v>
      </c>
      <c r="J133" s="197"/>
      <c r="K133" s="224">
        <f t="shared" si="68"/>
        <v>0</v>
      </c>
      <c r="L133" s="224">
        <f t="shared" si="69"/>
        <v>0</v>
      </c>
      <c r="M133" s="224">
        <f t="shared" si="70"/>
        <v>0</v>
      </c>
      <c r="N133" s="225"/>
      <c r="O133" s="225"/>
      <c r="P133" s="225"/>
      <c r="Q133" s="225"/>
      <c r="R133" s="226">
        <v>0.1</v>
      </c>
      <c r="S133" s="227">
        <f t="shared" si="71"/>
        <v>0</v>
      </c>
      <c r="T133" s="238"/>
      <c r="U133" s="220"/>
    </row>
    <row r="134" spans="1:22" ht="84" outlineLevel="2">
      <c r="A134" s="221">
        <v>2</v>
      </c>
      <c r="B134" s="221">
        <v>2</v>
      </c>
      <c r="C134" s="222" t="s">
        <v>429</v>
      </c>
      <c r="D134" s="222" t="s">
        <v>430</v>
      </c>
      <c r="E134" s="222" t="s">
        <v>431</v>
      </c>
      <c r="F134" s="221" t="s">
        <v>265</v>
      </c>
      <c r="G134" s="223">
        <v>0</v>
      </c>
      <c r="H134" s="223">
        <f t="shared" si="72"/>
        <v>0</v>
      </c>
      <c r="I134" s="223">
        <f t="shared" si="73"/>
        <v>0</v>
      </c>
      <c r="J134" s="197"/>
      <c r="K134" s="224">
        <f t="shared" si="68"/>
        <v>0</v>
      </c>
      <c r="L134" s="224">
        <f t="shared" si="69"/>
        <v>0</v>
      </c>
      <c r="M134" s="224">
        <f t="shared" si="70"/>
        <v>0</v>
      </c>
      <c r="N134" s="225"/>
      <c r="O134" s="225"/>
      <c r="P134" s="225"/>
      <c r="Q134" s="225"/>
      <c r="R134" s="226">
        <v>0.1</v>
      </c>
      <c r="S134" s="227">
        <f t="shared" si="71"/>
        <v>0</v>
      </c>
      <c r="T134" s="228"/>
      <c r="U134" s="220"/>
    </row>
    <row r="135" spans="1:22" ht="52.5" outlineLevel="2">
      <c r="A135" s="221"/>
      <c r="B135" s="221">
        <v>3</v>
      </c>
      <c r="C135" s="221" t="s">
        <v>266</v>
      </c>
      <c r="D135" s="276" t="s">
        <v>2037</v>
      </c>
      <c r="E135" s="222"/>
      <c r="F135" s="221" t="s">
        <v>265</v>
      </c>
      <c r="G135" s="223">
        <v>0</v>
      </c>
      <c r="H135" s="223">
        <f t="shared" si="72"/>
        <v>0</v>
      </c>
      <c r="I135" s="223">
        <f t="shared" si="73"/>
        <v>0</v>
      </c>
      <c r="J135" s="197"/>
      <c r="K135" s="224">
        <f t="shared" si="68"/>
        <v>4.7960000000000003</v>
      </c>
      <c r="L135" s="224">
        <f t="shared" si="69"/>
        <v>0.39600000000000002</v>
      </c>
      <c r="M135" s="224">
        <f t="shared" si="70"/>
        <v>4.4000000000000004</v>
      </c>
      <c r="N135" s="225">
        <v>4</v>
      </c>
      <c r="O135" s="225">
        <v>0</v>
      </c>
      <c r="P135" s="225">
        <v>0</v>
      </c>
      <c r="Q135" s="225">
        <v>0</v>
      </c>
      <c r="R135" s="226">
        <v>0.1</v>
      </c>
      <c r="S135" s="227">
        <f t="shared" si="71"/>
        <v>0.4</v>
      </c>
      <c r="T135" s="228"/>
      <c r="U135" s="220"/>
    </row>
    <row r="136" spans="1:22" ht="73.5" outlineLevel="2">
      <c r="A136" s="221"/>
      <c r="B136" s="221">
        <v>3</v>
      </c>
      <c r="C136" s="221" t="s">
        <v>432</v>
      </c>
      <c r="D136" s="277" t="s">
        <v>2038</v>
      </c>
      <c r="E136" s="222"/>
      <c r="F136" s="221" t="s">
        <v>265</v>
      </c>
      <c r="G136" s="223">
        <v>0</v>
      </c>
      <c r="H136" s="223">
        <f t="shared" si="72"/>
        <v>0</v>
      </c>
      <c r="I136" s="223">
        <f t="shared" si="73"/>
        <v>0</v>
      </c>
      <c r="J136" s="197"/>
      <c r="K136" s="224">
        <f t="shared" si="68"/>
        <v>31.503724999999999</v>
      </c>
      <c r="L136" s="224">
        <f t="shared" si="69"/>
        <v>2.6012249999999999</v>
      </c>
      <c r="M136" s="224">
        <f t="shared" si="70"/>
        <v>28.9025</v>
      </c>
      <c r="N136" s="225">
        <v>13</v>
      </c>
      <c r="O136" s="225">
        <f>0.15*调差材料基价表!E65*1.5</f>
        <v>13.274999999999999</v>
      </c>
      <c r="P136" s="225"/>
      <c r="Q136" s="225">
        <v>0</v>
      </c>
      <c r="R136" s="226">
        <v>0.1</v>
      </c>
      <c r="S136" s="227">
        <f t="shared" si="71"/>
        <v>2.6274999999999999</v>
      </c>
      <c r="T136" s="228"/>
      <c r="U136" s="220"/>
    </row>
    <row r="137" spans="1:22" ht="31.5" outlineLevel="2">
      <c r="A137" s="221"/>
      <c r="B137" s="221">
        <v>3</v>
      </c>
      <c r="C137" s="221" t="s">
        <v>269</v>
      </c>
      <c r="D137" s="222" t="s">
        <v>433</v>
      </c>
      <c r="E137" s="222"/>
      <c r="F137" s="221" t="s">
        <v>265</v>
      </c>
      <c r="G137" s="223">
        <v>0</v>
      </c>
      <c r="H137" s="223">
        <f t="shared" si="72"/>
        <v>0</v>
      </c>
      <c r="I137" s="223">
        <f t="shared" si="73"/>
        <v>0</v>
      </c>
      <c r="J137" s="197"/>
      <c r="K137" s="224">
        <f t="shared" si="68"/>
        <v>74.230904854368902</v>
      </c>
      <c r="L137" s="224">
        <f t="shared" si="69"/>
        <v>6.1291572815533959</v>
      </c>
      <c r="M137" s="224">
        <f t="shared" si="70"/>
        <v>68.101747572815512</v>
      </c>
      <c r="N137" s="225">
        <v>12</v>
      </c>
      <c r="O137" s="225">
        <f>0.1224*调差材料基价表!E13</f>
        <v>49.910679611650465</v>
      </c>
      <c r="P137" s="225"/>
      <c r="Q137" s="225">
        <v>0</v>
      </c>
      <c r="R137" s="226">
        <v>0.1</v>
      </c>
      <c r="S137" s="227">
        <f t="shared" si="71"/>
        <v>6.1910679611650465</v>
      </c>
      <c r="T137" s="278" t="s">
        <v>434</v>
      </c>
      <c r="U137" s="220"/>
      <c r="V137" s="17" t="s">
        <v>435</v>
      </c>
    </row>
    <row r="138" spans="1:22" ht="63" outlineLevel="2">
      <c r="A138" s="221"/>
      <c r="B138" s="221">
        <v>3</v>
      </c>
      <c r="C138" s="221" t="s">
        <v>275</v>
      </c>
      <c r="D138" s="222" t="s">
        <v>436</v>
      </c>
      <c r="E138" s="222"/>
      <c r="F138" s="221" t="s">
        <v>265</v>
      </c>
      <c r="G138" s="223">
        <v>0</v>
      </c>
      <c r="H138" s="223">
        <f t="shared" si="72"/>
        <v>0</v>
      </c>
      <c r="I138" s="223">
        <f t="shared" si="73"/>
        <v>0</v>
      </c>
      <c r="J138" s="197"/>
      <c r="K138" s="224">
        <f t="shared" si="68"/>
        <v>26.378</v>
      </c>
      <c r="L138" s="224">
        <f t="shared" si="69"/>
        <v>2.1779999999999999</v>
      </c>
      <c r="M138" s="224">
        <f t="shared" si="70"/>
        <v>24.2</v>
      </c>
      <c r="N138" s="225">
        <v>15</v>
      </c>
      <c r="O138" s="225">
        <v>5</v>
      </c>
      <c r="P138" s="225">
        <v>2</v>
      </c>
      <c r="Q138" s="249"/>
      <c r="R138" s="226">
        <v>0.1</v>
      </c>
      <c r="S138" s="227">
        <f t="shared" si="71"/>
        <v>2.2000000000000002</v>
      </c>
      <c r="T138" s="228"/>
      <c r="U138" s="220"/>
      <c r="V138" s="17" t="s">
        <v>437</v>
      </c>
    </row>
    <row r="139" spans="1:22" ht="84" outlineLevel="2">
      <c r="A139" s="221"/>
      <c r="B139" s="221">
        <v>3</v>
      </c>
      <c r="C139" s="221" t="s">
        <v>278</v>
      </c>
      <c r="D139" s="222" t="s">
        <v>438</v>
      </c>
      <c r="E139" s="277"/>
      <c r="F139" s="221" t="s">
        <v>265</v>
      </c>
      <c r="G139" s="223">
        <v>0</v>
      </c>
      <c r="H139" s="223">
        <f t="shared" si="72"/>
        <v>0</v>
      </c>
      <c r="I139" s="223">
        <f t="shared" si="73"/>
        <v>0</v>
      </c>
      <c r="J139" s="197"/>
      <c r="K139" s="224">
        <f t="shared" si="68"/>
        <v>79.231561349514536</v>
      </c>
      <c r="L139" s="224">
        <f t="shared" si="69"/>
        <v>6.5420555242718423</v>
      </c>
      <c r="M139" s="224">
        <f t="shared" si="70"/>
        <v>72.689505825242691</v>
      </c>
      <c r="N139" s="225">
        <v>14</v>
      </c>
      <c r="O139" s="225">
        <f>0.0816*调差材料基价表!E15</f>
        <v>35.254368932038815</v>
      </c>
      <c r="P139" s="225">
        <f>(1/0.2+1)*2*0.395*调差材料基价表!E4/1000</f>
        <v>16.827000000000002</v>
      </c>
      <c r="Q139" s="225">
        <v>0</v>
      </c>
      <c r="R139" s="226">
        <v>0.1</v>
      </c>
      <c r="S139" s="227">
        <f t="shared" si="71"/>
        <v>6.6081368932038815</v>
      </c>
      <c r="T139" s="228" t="s">
        <v>439</v>
      </c>
      <c r="U139" s="220"/>
      <c r="V139" s="17" t="s">
        <v>440</v>
      </c>
    </row>
    <row r="140" spans="1:22" ht="84" outlineLevel="2">
      <c r="A140" s="221"/>
      <c r="B140" s="221">
        <v>2</v>
      </c>
      <c r="C140" s="222" t="s">
        <v>441</v>
      </c>
      <c r="D140" s="222" t="s">
        <v>442</v>
      </c>
      <c r="E140" s="222" t="s">
        <v>431</v>
      </c>
      <c r="F140" s="221" t="s">
        <v>265</v>
      </c>
      <c r="G140" s="223">
        <v>0</v>
      </c>
      <c r="H140" s="223">
        <f t="shared" si="72"/>
        <v>0</v>
      </c>
      <c r="I140" s="223">
        <f t="shared" si="73"/>
        <v>0</v>
      </c>
      <c r="J140" s="197"/>
      <c r="K140" s="224">
        <f t="shared" si="68"/>
        <v>0</v>
      </c>
      <c r="L140" s="224">
        <f t="shared" si="69"/>
        <v>0</v>
      </c>
      <c r="M140" s="224">
        <f t="shared" si="70"/>
        <v>0</v>
      </c>
      <c r="N140" s="225"/>
      <c r="O140" s="225"/>
      <c r="P140" s="225"/>
      <c r="Q140" s="225"/>
      <c r="R140" s="226">
        <v>0.1</v>
      </c>
      <c r="S140" s="227">
        <f t="shared" si="71"/>
        <v>0</v>
      </c>
      <c r="T140" s="228"/>
      <c r="U140" s="220"/>
    </row>
    <row r="141" spans="1:22" ht="52.5" outlineLevel="2">
      <c r="A141" s="221"/>
      <c r="B141" s="221">
        <v>3</v>
      </c>
      <c r="C141" s="221" t="s">
        <v>266</v>
      </c>
      <c r="D141" s="276" t="s">
        <v>2037</v>
      </c>
      <c r="E141" s="222"/>
      <c r="F141" s="221" t="s">
        <v>265</v>
      </c>
      <c r="G141" s="223">
        <v>0</v>
      </c>
      <c r="H141" s="223">
        <f t="shared" si="72"/>
        <v>0</v>
      </c>
      <c r="I141" s="223">
        <f t="shared" si="73"/>
        <v>0</v>
      </c>
      <c r="J141" s="197"/>
      <c r="K141" s="224">
        <f t="shared" si="68"/>
        <v>4.7960000000000003</v>
      </c>
      <c r="L141" s="224">
        <f t="shared" si="69"/>
        <v>0.39600000000000002</v>
      </c>
      <c r="M141" s="224">
        <f t="shared" si="70"/>
        <v>4.4000000000000004</v>
      </c>
      <c r="N141" s="225">
        <v>4</v>
      </c>
      <c r="O141" s="225">
        <v>0</v>
      </c>
      <c r="P141" s="225">
        <v>0</v>
      </c>
      <c r="Q141" s="225">
        <v>0</v>
      </c>
      <c r="R141" s="226">
        <v>0.1</v>
      </c>
      <c r="S141" s="227">
        <f t="shared" si="71"/>
        <v>0.4</v>
      </c>
      <c r="T141" s="228"/>
      <c r="U141" s="220"/>
    </row>
    <row r="142" spans="1:22" ht="73.5" outlineLevel="2">
      <c r="A142" s="221"/>
      <c r="B142" s="221">
        <v>3</v>
      </c>
      <c r="C142" s="221" t="s">
        <v>432</v>
      </c>
      <c r="D142" s="277" t="s">
        <v>2038</v>
      </c>
      <c r="E142" s="222"/>
      <c r="F142" s="221" t="s">
        <v>265</v>
      </c>
      <c r="G142" s="223">
        <v>0</v>
      </c>
      <c r="H142" s="223">
        <f t="shared" si="72"/>
        <v>0</v>
      </c>
      <c r="I142" s="223">
        <f t="shared" si="73"/>
        <v>0</v>
      </c>
      <c r="J142" s="197"/>
      <c r="K142" s="224">
        <f t="shared" si="68"/>
        <v>31.503724999999999</v>
      </c>
      <c r="L142" s="224">
        <f t="shared" si="69"/>
        <v>2.6012249999999999</v>
      </c>
      <c r="M142" s="224">
        <f t="shared" si="70"/>
        <v>28.9025</v>
      </c>
      <c r="N142" s="225">
        <v>13</v>
      </c>
      <c r="O142" s="225">
        <f>0.15*调差材料基价表!E65*1.5</f>
        <v>13.274999999999999</v>
      </c>
      <c r="P142" s="225"/>
      <c r="Q142" s="225">
        <v>0</v>
      </c>
      <c r="R142" s="226">
        <v>0.1</v>
      </c>
      <c r="S142" s="227">
        <f t="shared" si="71"/>
        <v>2.6274999999999999</v>
      </c>
      <c r="T142" s="228"/>
      <c r="U142" s="220"/>
    </row>
    <row r="143" spans="1:22" ht="52.5" outlineLevel="2">
      <c r="A143" s="221"/>
      <c r="B143" s="221">
        <v>3</v>
      </c>
      <c r="C143" s="221" t="s">
        <v>269</v>
      </c>
      <c r="D143" s="222" t="s">
        <v>443</v>
      </c>
      <c r="E143" s="222"/>
      <c r="F143" s="221" t="s">
        <v>265</v>
      </c>
      <c r="G143" s="223">
        <v>0</v>
      </c>
      <c r="H143" s="223">
        <f t="shared" si="72"/>
        <v>0</v>
      </c>
      <c r="I143" s="223">
        <f t="shared" si="73"/>
        <v>0</v>
      </c>
      <c r="J143" s="197"/>
      <c r="K143" s="224">
        <f t="shared" si="68"/>
        <v>108.40260856796115</v>
      </c>
      <c r="L143" s="224">
        <f t="shared" si="69"/>
        <v>8.9506741019417468</v>
      </c>
      <c r="M143" s="224">
        <f t="shared" si="70"/>
        <v>99.451934466019409</v>
      </c>
      <c r="N143" s="225">
        <v>14</v>
      </c>
      <c r="O143" s="225">
        <f>0.153*调差材料基价表!E13</f>
        <v>62.388349514563089</v>
      </c>
      <c r="P143" s="225">
        <f>(1/0.25+1)*2*0.395*调差材料基价表!E4/1000</f>
        <v>14.022500000000001</v>
      </c>
      <c r="Q143" s="225">
        <v>0</v>
      </c>
      <c r="R143" s="226">
        <v>0.1</v>
      </c>
      <c r="S143" s="227">
        <f t="shared" si="71"/>
        <v>9.0410849514563107</v>
      </c>
      <c r="T143" s="228" t="s">
        <v>444</v>
      </c>
      <c r="U143" s="220"/>
    </row>
    <row r="144" spans="1:22" ht="63" outlineLevel="2">
      <c r="A144" s="221"/>
      <c r="B144" s="221">
        <v>3</v>
      </c>
      <c r="C144" s="221" t="s">
        <v>275</v>
      </c>
      <c r="D144" s="222" t="s">
        <v>436</v>
      </c>
      <c r="E144" s="222"/>
      <c r="F144" s="221" t="s">
        <v>265</v>
      </c>
      <c r="G144" s="223">
        <v>0</v>
      </c>
      <c r="H144" s="223">
        <f t="shared" si="72"/>
        <v>0</v>
      </c>
      <c r="I144" s="223">
        <f t="shared" si="73"/>
        <v>0</v>
      </c>
      <c r="J144" s="197"/>
      <c r="K144" s="224">
        <f t="shared" si="68"/>
        <v>26.378</v>
      </c>
      <c r="L144" s="224">
        <f t="shared" si="69"/>
        <v>2.1779999999999999</v>
      </c>
      <c r="M144" s="224">
        <f t="shared" si="70"/>
        <v>24.2</v>
      </c>
      <c r="N144" s="225">
        <v>15</v>
      </c>
      <c r="O144" s="225">
        <v>5</v>
      </c>
      <c r="P144" s="225">
        <v>2</v>
      </c>
      <c r="Q144" s="249"/>
      <c r="R144" s="226">
        <v>0.1</v>
      </c>
      <c r="S144" s="227">
        <f t="shared" si="71"/>
        <v>2.2000000000000002</v>
      </c>
      <c r="T144" s="228"/>
      <c r="U144" s="220"/>
    </row>
    <row r="145" spans="1:21" ht="52.5" outlineLevel="2">
      <c r="A145" s="221"/>
      <c r="B145" s="221">
        <v>3</v>
      </c>
      <c r="C145" s="221" t="s">
        <v>278</v>
      </c>
      <c r="D145" s="222" t="s">
        <v>438</v>
      </c>
      <c r="E145" s="277"/>
      <c r="F145" s="221" t="s">
        <v>265</v>
      </c>
      <c r="G145" s="223">
        <v>0</v>
      </c>
      <c r="H145" s="223">
        <f t="shared" si="72"/>
        <v>0</v>
      </c>
      <c r="I145" s="223">
        <f t="shared" si="73"/>
        <v>0</v>
      </c>
      <c r="J145" s="197"/>
      <c r="K145" s="224">
        <f t="shared" si="68"/>
        <v>79.231561349514536</v>
      </c>
      <c r="L145" s="224">
        <f t="shared" si="69"/>
        <v>6.5420555242718423</v>
      </c>
      <c r="M145" s="224">
        <f t="shared" si="70"/>
        <v>72.689505825242691</v>
      </c>
      <c r="N145" s="225">
        <v>14</v>
      </c>
      <c r="O145" s="225">
        <f>0.0816*调差材料基价表!E15</f>
        <v>35.254368932038815</v>
      </c>
      <c r="P145" s="225">
        <f>(1/0.2+1)*2*0.395*调差材料基价表!E4/1000</f>
        <v>16.827000000000002</v>
      </c>
      <c r="Q145" s="225">
        <v>0</v>
      </c>
      <c r="R145" s="226">
        <v>0.1</v>
      </c>
      <c r="S145" s="227">
        <f t="shared" si="71"/>
        <v>6.6081368932038815</v>
      </c>
      <c r="T145" s="228" t="s">
        <v>445</v>
      </c>
      <c r="U145" s="220"/>
    </row>
    <row r="146" spans="1:21" ht="115.5" outlineLevel="1">
      <c r="A146" s="233">
        <v>2</v>
      </c>
      <c r="B146" s="233">
        <v>2</v>
      </c>
      <c r="C146" s="233" t="s">
        <v>2090</v>
      </c>
      <c r="D146" s="250" t="s">
        <v>263</v>
      </c>
      <c r="E146" s="250" t="s">
        <v>446</v>
      </c>
      <c r="F146" s="233"/>
      <c r="G146" s="223">
        <v>6796</v>
      </c>
      <c r="H146" s="223"/>
      <c r="I146" s="223"/>
      <c r="J146" s="197"/>
      <c r="K146" s="224"/>
      <c r="L146" s="224"/>
      <c r="M146" s="224"/>
      <c r="N146" s="225"/>
      <c r="O146" s="225"/>
      <c r="P146" s="225"/>
      <c r="Q146" s="225"/>
      <c r="R146" s="226"/>
      <c r="S146" s="227"/>
      <c r="T146" s="228"/>
      <c r="U146" s="220"/>
    </row>
    <row r="147" spans="1:21" ht="31.5" outlineLevel="2">
      <c r="A147" s="233"/>
      <c r="B147" s="233">
        <v>3</v>
      </c>
      <c r="C147" s="254" t="s">
        <v>266</v>
      </c>
      <c r="D147" s="250" t="s">
        <v>2091</v>
      </c>
      <c r="E147" s="279"/>
      <c r="F147" s="233" t="s">
        <v>265</v>
      </c>
      <c r="G147" s="223">
        <v>6796</v>
      </c>
      <c r="H147" s="223">
        <f>G147*K147</f>
        <v>4074.2020000000002</v>
      </c>
      <c r="I147" s="223">
        <f>G147*K147*(1+J147)</f>
        <v>4074.2020000000002</v>
      </c>
      <c r="J147" s="197"/>
      <c r="K147" s="224">
        <f t="shared" ref="K147:K148" si="74">L147+M147</f>
        <v>0.59950000000000003</v>
      </c>
      <c r="L147" s="224">
        <f t="shared" ref="L147:L148" si="75">M147*0.09</f>
        <v>4.9500000000000002E-2</v>
      </c>
      <c r="M147" s="224">
        <f t="shared" ref="M147:M148" si="76">N147+O147+P147+Q147+S147</f>
        <v>0.55000000000000004</v>
      </c>
      <c r="N147" s="225">
        <v>0.5</v>
      </c>
      <c r="O147" s="225"/>
      <c r="P147" s="225"/>
      <c r="Q147" s="225"/>
      <c r="R147" s="226">
        <v>0.1</v>
      </c>
      <c r="S147" s="227">
        <f t="shared" ref="S147" si="77">SUM(N147:Q147)*R147</f>
        <v>0.05</v>
      </c>
      <c r="T147" s="228"/>
      <c r="U147" s="220"/>
    </row>
    <row r="148" spans="1:21" ht="21" outlineLevel="2">
      <c r="A148" s="233"/>
      <c r="B148" s="233">
        <v>3</v>
      </c>
      <c r="C148" s="254" t="s">
        <v>269</v>
      </c>
      <c r="D148" s="250" t="s">
        <v>2092</v>
      </c>
      <c r="E148" s="279"/>
      <c r="F148" s="233" t="s">
        <v>265</v>
      </c>
      <c r="G148" s="223">
        <v>6796</v>
      </c>
      <c r="H148" s="223">
        <f t="shared" ref="H148" si="78">G148*K148</f>
        <v>428621.87254368892</v>
      </c>
      <c r="I148" s="223">
        <f t="shared" ref="I148" si="79">G148*K148*(1+J148)</f>
        <v>428621.87254368892</v>
      </c>
      <c r="J148" s="197"/>
      <c r="K148" s="224">
        <f t="shared" si="74"/>
        <v>63.069728155339746</v>
      </c>
      <c r="L148" s="224">
        <f t="shared" si="75"/>
        <v>5.2075922330097031</v>
      </c>
      <c r="M148" s="224">
        <f t="shared" si="76"/>
        <v>57.86213592233004</v>
      </c>
      <c r="N148" s="225">
        <v>12</v>
      </c>
      <c r="O148" s="225">
        <f>0.102*调差材料基价表!E12</f>
        <v>40.601941747572766</v>
      </c>
      <c r="P148" s="225"/>
      <c r="Q148" s="225">
        <v>0</v>
      </c>
      <c r="R148" s="226">
        <v>0.1</v>
      </c>
      <c r="S148" s="227">
        <f t="shared" ref="S148" si="80">SUM(N148:Q148)*R148</f>
        <v>5.2601941747572774</v>
      </c>
      <c r="T148" s="228" t="s">
        <v>2020</v>
      </c>
      <c r="U148" s="220"/>
    </row>
    <row r="149" spans="1:21" ht="42" outlineLevel="2">
      <c r="A149" s="233"/>
      <c r="B149" s="233">
        <v>3</v>
      </c>
      <c r="C149" s="254" t="s">
        <v>275</v>
      </c>
      <c r="D149" s="250" t="s">
        <v>447</v>
      </c>
      <c r="E149" s="279"/>
      <c r="F149" s="233" t="s">
        <v>265</v>
      </c>
      <c r="G149" s="223">
        <v>6796</v>
      </c>
      <c r="H149" s="223">
        <f t="shared" ref="H149:H151" si="81">G149*K149</f>
        <v>0</v>
      </c>
      <c r="I149" s="223">
        <f t="shared" ref="I149:I151" si="82">G149*K149*(1+J149)</f>
        <v>0</v>
      </c>
      <c r="J149" s="197"/>
      <c r="K149" s="224"/>
      <c r="L149" s="224"/>
      <c r="M149" s="224"/>
      <c r="N149" s="225"/>
      <c r="O149" s="225"/>
      <c r="P149" s="225"/>
      <c r="Q149" s="225"/>
      <c r="R149" s="226"/>
      <c r="S149" s="227"/>
      <c r="T149" s="228"/>
      <c r="U149" s="220"/>
    </row>
    <row r="150" spans="1:21" ht="105" outlineLevel="2">
      <c r="A150" s="233"/>
      <c r="B150" s="233">
        <v>3</v>
      </c>
      <c r="C150" s="254" t="s">
        <v>278</v>
      </c>
      <c r="D150" s="250" t="s">
        <v>448</v>
      </c>
      <c r="E150" s="279"/>
      <c r="F150" s="233" t="s">
        <v>265</v>
      </c>
      <c r="G150" s="223">
        <v>6796</v>
      </c>
      <c r="H150" s="223">
        <f t="shared" si="81"/>
        <v>313230.97861747554</v>
      </c>
      <c r="I150" s="223">
        <f t="shared" si="82"/>
        <v>313230.97861747554</v>
      </c>
      <c r="J150" s="197"/>
      <c r="K150" s="224">
        <f>L150+M150</f>
        <v>46.090491262135899</v>
      </c>
      <c r="L150" s="224">
        <f>M150*0.09</f>
        <v>3.8056368932038813</v>
      </c>
      <c r="M150" s="224">
        <f>N150+O150+P150+Q150+S150</f>
        <v>42.284854368932017</v>
      </c>
      <c r="N150" s="225">
        <v>12</v>
      </c>
      <c r="O150" s="225">
        <f>0.0612*调差材料基价表!E15</f>
        <v>26.440776699029108</v>
      </c>
      <c r="P150" s="225">
        <v>0</v>
      </c>
      <c r="Q150" s="225">
        <v>0</v>
      </c>
      <c r="R150" s="226">
        <v>0.1</v>
      </c>
      <c r="S150" s="227">
        <f>SUM(N150:Q150)*R150</f>
        <v>3.8440776699029109</v>
      </c>
      <c r="T150" s="228" t="s">
        <v>449</v>
      </c>
      <c r="U150" s="220"/>
    </row>
    <row r="151" spans="1:21" ht="21" outlineLevel="2">
      <c r="A151" s="233"/>
      <c r="B151" s="233">
        <v>3</v>
      </c>
      <c r="C151" s="254" t="s">
        <v>308</v>
      </c>
      <c r="D151" s="250" t="s">
        <v>450</v>
      </c>
      <c r="E151" s="279"/>
      <c r="F151" s="233" t="s">
        <v>238</v>
      </c>
      <c r="G151" s="223">
        <v>14.172786159999999</v>
      </c>
      <c r="H151" s="223">
        <f t="shared" si="81"/>
        <v>75891.499925681448</v>
      </c>
      <c r="I151" s="223">
        <f t="shared" si="82"/>
        <v>75891.499925681448</v>
      </c>
      <c r="J151" s="197"/>
      <c r="K151" s="224">
        <f t="shared" ref="K151" si="83">L151+M151</f>
        <v>5354.7340000000004</v>
      </c>
      <c r="L151" s="224">
        <f t="shared" ref="L151" si="84">M151*0.09</f>
        <v>442.13400000000001</v>
      </c>
      <c r="M151" s="224">
        <f t="shared" ref="M151" si="85">N151+O151+P151+Q151+S151</f>
        <v>4912.6000000000004</v>
      </c>
      <c r="N151" s="225">
        <v>800</v>
      </c>
      <c r="O151" s="225">
        <f>一级钢综合*1.02</f>
        <v>3621</v>
      </c>
      <c r="P151" s="225">
        <v>45</v>
      </c>
      <c r="Q151" s="225">
        <v>0</v>
      </c>
      <c r="R151" s="226">
        <v>0.1</v>
      </c>
      <c r="S151" s="227">
        <f t="shared" ref="S151" si="86">SUM(N151:Q151)*R151</f>
        <v>446.6</v>
      </c>
      <c r="T151" s="228" t="s">
        <v>253</v>
      </c>
      <c r="U151" s="220"/>
    </row>
    <row r="152" spans="1:21" ht="63" outlineLevel="1">
      <c r="A152" s="233">
        <v>3</v>
      </c>
      <c r="B152" s="233">
        <v>2</v>
      </c>
      <c r="C152" s="233" t="s">
        <v>451</v>
      </c>
      <c r="D152" s="250" t="s">
        <v>263</v>
      </c>
      <c r="E152" s="250" t="s">
        <v>446</v>
      </c>
      <c r="F152" s="233"/>
      <c r="G152" s="223">
        <v>0</v>
      </c>
      <c r="H152" s="223"/>
      <c r="I152" s="223"/>
      <c r="J152" s="197"/>
      <c r="K152" s="224"/>
      <c r="L152" s="224"/>
      <c r="M152" s="224"/>
      <c r="N152" s="225"/>
      <c r="O152" s="225"/>
      <c r="P152" s="225"/>
      <c r="Q152" s="225"/>
      <c r="R152" s="226"/>
      <c r="S152" s="227"/>
      <c r="T152" s="228"/>
      <c r="U152" s="220"/>
    </row>
    <row r="153" spans="1:21" ht="52.5" outlineLevel="2">
      <c r="A153" s="233"/>
      <c r="B153" s="233">
        <v>3</v>
      </c>
      <c r="C153" s="254" t="s">
        <v>266</v>
      </c>
      <c r="D153" s="250" t="s">
        <v>452</v>
      </c>
      <c r="E153" s="279"/>
      <c r="F153" s="233" t="s">
        <v>265</v>
      </c>
      <c r="G153" s="223">
        <v>0</v>
      </c>
      <c r="H153" s="223">
        <f t="shared" ref="H153" si="87">G153*K153</f>
        <v>0</v>
      </c>
      <c r="I153" s="223">
        <f t="shared" ref="I153" si="88">G153*K153*(1+J153)</f>
        <v>0</v>
      </c>
      <c r="J153" s="197"/>
      <c r="K153" s="224">
        <f t="shared" ref="K153:K155" si="89">L153+M153</f>
        <v>31.503724999999999</v>
      </c>
      <c r="L153" s="224">
        <f t="shared" ref="L153:L155" si="90">M153*0.09</f>
        <v>2.6012249999999999</v>
      </c>
      <c r="M153" s="224">
        <f t="shared" ref="M153:M155" si="91">N153+O153+P153+Q153+S153</f>
        <v>28.9025</v>
      </c>
      <c r="N153" s="225">
        <v>13</v>
      </c>
      <c r="O153" s="225">
        <f>0.15*调差材料基价表!E65*1.5</f>
        <v>13.274999999999999</v>
      </c>
      <c r="P153" s="225"/>
      <c r="Q153" s="225">
        <v>0</v>
      </c>
      <c r="R153" s="226">
        <v>0.1</v>
      </c>
      <c r="S153" s="227">
        <f t="shared" ref="S153" si="92">SUM(N153:Q153)*R153</f>
        <v>2.6274999999999999</v>
      </c>
      <c r="T153" s="228"/>
      <c r="U153" s="220"/>
    </row>
    <row r="154" spans="1:21" ht="21" outlineLevel="2">
      <c r="A154" s="233"/>
      <c r="B154" s="233">
        <v>3</v>
      </c>
      <c r="C154" s="254" t="s">
        <v>269</v>
      </c>
      <c r="D154" s="250" t="s">
        <v>453</v>
      </c>
      <c r="E154" s="279"/>
      <c r="F154" s="233" t="s">
        <v>162</v>
      </c>
      <c r="G154" s="223">
        <v>0</v>
      </c>
      <c r="H154" s="223">
        <f t="shared" ref="H154" si="93">G154*K154</f>
        <v>0</v>
      </c>
      <c r="I154" s="223">
        <f t="shared" ref="I154" si="94">G154*K154*(1+J154)</f>
        <v>0</v>
      </c>
      <c r="J154" s="197"/>
      <c r="K154" s="224">
        <f t="shared" si="89"/>
        <v>606.71728155339747</v>
      </c>
      <c r="L154" s="224">
        <f t="shared" si="90"/>
        <v>50.095922330097039</v>
      </c>
      <c r="M154" s="224">
        <f t="shared" si="91"/>
        <v>556.62135922330049</v>
      </c>
      <c r="N154" s="225">
        <v>100</v>
      </c>
      <c r="O154" s="225">
        <f>调差材料基价表!E12*1.02</f>
        <v>406.01941747572772</v>
      </c>
      <c r="P154" s="225"/>
      <c r="Q154" s="225">
        <v>0</v>
      </c>
      <c r="R154" s="226">
        <v>0.1</v>
      </c>
      <c r="S154" s="227">
        <f t="shared" ref="S154:S155" si="95">SUM(N154:Q154)*R154</f>
        <v>50.601941747572774</v>
      </c>
      <c r="T154" s="238" t="s">
        <v>253</v>
      </c>
      <c r="U154" s="220"/>
    </row>
    <row r="155" spans="1:21" ht="73.5" outlineLevel="2">
      <c r="A155" s="233"/>
      <c r="B155" s="233">
        <v>3</v>
      </c>
      <c r="C155" s="254" t="s">
        <v>275</v>
      </c>
      <c r="D155" s="250" t="s">
        <v>454</v>
      </c>
      <c r="E155" s="279"/>
      <c r="F155" s="233" t="s">
        <v>265</v>
      </c>
      <c r="G155" s="223">
        <v>0</v>
      </c>
      <c r="H155" s="223">
        <f t="shared" ref="H155:H158" si="96">G155*K155</f>
        <v>0</v>
      </c>
      <c r="I155" s="223">
        <f t="shared" ref="I155:I158" si="97">G155*K155*(1+J155)</f>
        <v>0</v>
      </c>
      <c r="J155" s="197"/>
      <c r="K155" s="224">
        <f t="shared" si="89"/>
        <v>35.522994174757272</v>
      </c>
      <c r="L155" s="224">
        <f t="shared" si="90"/>
        <v>2.9330912621359211</v>
      </c>
      <c r="M155" s="224">
        <f t="shared" si="91"/>
        <v>32.589902912621348</v>
      </c>
      <c r="N155" s="225">
        <v>12</v>
      </c>
      <c r="O155" s="225">
        <f>0.0408*调差材料基价表!E15</f>
        <v>17.627184466019408</v>
      </c>
      <c r="P155" s="225">
        <v>0</v>
      </c>
      <c r="Q155" s="225">
        <v>0</v>
      </c>
      <c r="R155" s="226">
        <v>0.1</v>
      </c>
      <c r="S155" s="227">
        <f t="shared" si="95"/>
        <v>2.9627184466019409</v>
      </c>
      <c r="T155" s="228" t="s">
        <v>455</v>
      </c>
      <c r="U155" s="220"/>
    </row>
    <row r="156" spans="1:21" ht="42" outlineLevel="2">
      <c r="A156" s="233"/>
      <c r="B156" s="233">
        <v>3</v>
      </c>
      <c r="C156" s="254" t="s">
        <v>278</v>
      </c>
      <c r="D156" s="250" t="s">
        <v>447</v>
      </c>
      <c r="E156" s="279"/>
      <c r="F156" s="233" t="s">
        <v>265</v>
      </c>
      <c r="G156" s="223">
        <v>0</v>
      </c>
      <c r="H156" s="223">
        <f t="shared" si="96"/>
        <v>0</v>
      </c>
      <c r="I156" s="223">
        <f t="shared" si="97"/>
        <v>0</v>
      </c>
      <c r="J156" s="197"/>
      <c r="K156" s="224"/>
      <c r="L156" s="224"/>
      <c r="M156" s="224"/>
      <c r="N156" s="225"/>
      <c r="O156" s="225"/>
      <c r="P156" s="225"/>
      <c r="Q156" s="225"/>
      <c r="R156" s="226"/>
      <c r="S156" s="227"/>
      <c r="T156" s="228"/>
      <c r="U156" s="220"/>
    </row>
    <row r="157" spans="1:21" ht="105" outlineLevel="2">
      <c r="A157" s="233"/>
      <c r="B157" s="233">
        <v>3</v>
      </c>
      <c r="C157" s="254" t="s">
        <v>308</v>
      </c>
      <c r="D157" s="250" t="s">
        <v>456</v>
      </c>
      <c r="E157" s="279"/>
      <c r="F157" s="233" t="s">
        <v>265</v>
      </c>
      <c r="G157" s="223">
        <v>0</v>
      </c>
      <c r="H157" s="223">
        <f t="shared" si="96"/>
        <v>0</v>
      </c>
      <c r="I157" s="223">
        <f t="shared" si="97"/>
        <v>0</v>
      </c>
      <c r="J157" s="197"/>
      <c r="K157" s="224">
        <f>L157+M157</f>
        <v>46.090491262135899</v>
      </c>
      <c r="L157" s="224">
        <f>M157*0.09</f>
        <v>3.8056368932038813</v>
      </c>
      <c r="M157" s="224">
        <f>N157+O157+P157+Q157+S157</f>
        <v>42.284854368932017</v>
      </c>
      <c r="N157" s="225">
        <v>12</v>
      </c>
      <c r="O157" s="225">
        <f>0.0612*调差材料基价表!E15</f>
        <v>26.440776699029108</v>
      </c>
      <c r="P157" s="225">
        <v>0</v>
      </c>
      <c r="Q157" s="225">
        <v>0</v>
      </c>
      <c r="R157" s="226">
        <v>0.1</v>
      </c>
      <c r="S157" s="227">
        <f>SUM(N157:Q157)*R157</f>
        <v>3.8440776699029109</v>
      </c>
      <c r="T157" s="228" t="s">
        <v>449</v>
      </c>
      <c r="U157" s="220"/>
    </row>
    <row r="158" spans="1:21" ht="21" outlineLevel="2">
      <c r="A158" s="233"/>
      <c r="B158" s="233">
        <v>3</v>
      </c>
      <c r="C158" s="254" t="s">
        <v>457</v>
      </c>
      <c r="D158" s="250" t="s">
        <v>458</v>
      </c>
      <c r="E158" s="279"/>
      <c r="F158" s="233" t="s">
        <v>238</v>
      </c>
      <c r="G158" s="223">
        <v>0</v>
      </c>
      <c r="H158" s="223">
        <f t="shared" si="96"/>
        <v>0</v>
      </c>
      <c r="I158" s="223">
        <f t="shared" si="97"/>
        <v>0</v>
      </c>
      <c r="J158" s="197"/>
      <c r="K158" s="224">
        <f t="shared" ref="K158" si="98">L158+M158</f>
        <v>5354.7340000000004</v>
      </c>
      <c r="L158" s="224">
        <f t="shared" ref="L158" si="99">M158*0.09</f>
        <v>442.13400000000001</v>
      </c>
      <c r="M158" s="224">
        <f t="shared" ref="M158" si="100">N158+O158+P158+Q158+S158</f>
        <v>4912.6000000000004</v>
      </c>
      <c r="N158" s="225">
        <v>800</v>
      </c>
      <c r="O158" s="225">
        <f>一级钢综合*1.02</f>
        <v>3621</v>
      </c>
      <c r="P158" s="225">
        <v>45</v>
      </c>
      <c r="Q158" s="225">
        <v>0</v>
      </c>
      <c r="R158" s="226">
        <v>0.1</v>
      </c>
      <c r="S158" s="227">
        <f t="shared" ref="S158" si="101">SUM(N158:Q158)*R158</f>
        <v>446.6</v>
      </c>
      <c r="T158" s="228" t="s">
        <v>253</v>
      </c>
      <c r="U158" s="220"/>
    </row>
    <row r="159" spans="1:21" ht="63" outlineLevel="1">
      <c r="A159" s="233">
        <v>4</v>
      </c>
      <c r="B159" s="233">
        <v>2</v>
      </c>
      <c r="C159" s="233" t="s">
        <v>459</v>
      </c>
      <c r="D159" s="250" t="s">
        <v>263</v>
      </c>
      <c r="E159" s="250" t="s">
        <v>446</v>
      </c>
      <c r="F159" s="233" t="s">
        <v>265</v>
      </c>
      <c r="G159" s="223">
        <v>3528</v>
      </c>
      <c r="H159" s="223"/>
      <c r="I159" s="223"/>
      <c r="J159" s="197"/>
      <c r="K159" s="224"/>
      <c r="L159" s="224"/>
      <c r="M159" s="224"/>
      <c r="N159" s="225"/>
      <c r="O159" s="225"/>
      <c r="P159" s="225"/>
      <c r="Q159" s="225"/>
      <c r="R159" s="226"/>
      <c r="S159" s="227"/>
      <c r="T159" s="228"/>
      <c r="U159" s="220"/>
    </row>
    <row r="160" spans="1:21" ht="52.5" outlineLevel="2">
      <c r="A160" s="233"/>
      <c r="B160" s="233">
        <v>3</v>
      </c>
      <c r="C160" s="254" t="s">
        <v>266</v>
      </c>
      <c r="D160" s="250" t="s">
        <v>452</v>
      </c>
      <c r="E160" s="279"/>
      <c r="F160" s="233" t="s">
        <v>265</v>
      </c>
      <c r="G160" s="223">
        <v>3528</v>
      </c>
      <c r="H160" s="223">
        <f t="shared" ref="H160:H161" si="102">G160*K160</f>
        <v>111145.1418</v>
      </c>
      <c r="I160" s="223">
        <f t="shared" ref="I160:I161" si="103">G160*K160*(1+J160)</f>
        <v>111145.1418</v>
      </c>
      <c r="J160" s="197"/>
      <c r="K160" s="224">
        <f t="shared" ref="K160:K162" si="104">L160+M160</f>
        <v>31.503724999999999</v>
      </c>
      <c r="L160" s="224">
        <f t="shared" ref="L160:L162" si="105">M160*0.09</f>
        <v>2.6012249999999999</v>
      </c>
      <c r="M160" s="224">
        <f t="shared" ref="M160:M162" si="106">N160+O160+P160+Q160+S160</f>
        <v>28.9025</v>
      </c>
      <c r="N160" s="225">
        <v>13</v>
      </c>
      <c r="O160" s="225">
        <f>0.15*调差材料基价表!E65*1.5</f>
        <v>13.274999999999999</v>
      </c>
      <c r="P160" s="225"/>
      <c r="Q160" s="225">
        <v>0</v>
      </c>
      <c r="R160" s="226">
        <v>0.1</v>
      </c>
      <c r="S160" s="227">
        <f t="shared" ref="S160" si="107">SUM(N160:Q160)*R160</f>
        <v>2.6274999999999999</v>
      </c>
      <c r="T160" s="228"/>
      <c r="U160" s="220"/>
    </row>
    <row r="161" spans="1:21" ht="31.5" outlineLevel="2">
      <c r="A161" s="233"/>
      <c r="B161" s="233">
        <v>3</v>
      </c>
      <c r="C161" s="254" t="s">
        <v>269</v>
      </c>
      <c r="D161" s="250" t="s">
        <v>460</v>
      </c>
      <c r="E161" s="279"/>
      <c r="F161" s="233" t="s">
        <v>162</v>
      </c>
      <c r="G161" s="223">
        <v>529</v>
      </c>
      <c r="H161" s="223">
        <f t="shared" si="102"/>
        <v>320953.44194174727</v>
      </c>
      <c r="I161" s="223">
        <f t="shared" si="103"/>
        <v>320953.44194174727</v>
      </c>
      <c r="J161" s="197"/>
      <c r="K161" s="224">
        <f t="shared" si="104"/>
        <v>606.71728155339747</v>
      </c>
      <c r="L161" s="224">
        <f t="shared" si="105"/>
        <v>50.095922330097039</v>
      </c>
      <c r="M161" s="224">
        <f t="shared" si="106"/>
        <v>556.62135922330049</v>
      </c>
      <c r="N161" s="225">
        <v>100</v>
      </c>
      <c r="O161" s="225">
        <f>调差材料基价表!E12*1.02</f>
        <v>406.01941747572772</v>
      </c>
      <c r="P161" s="225"/>
      <c r="Q161" s="225">
        <v>0</v>
      </c>
      <c r="R161" s="226">
        <v>0.1</v>
      </c>
      <c r="S161" s="227">
        <f t="shared" ref="S161:S162" si="108">SUM(N161:Q161)*R161</f>
        <v>50.601941747572774</v>
      </c>
      <c r="T161" s="238" t="s">
        <v>253</v>
      </c>
      <c r="U161" s="220"/>
    </row>
    <row r="162" spans="1:21" ht="73.5" outlineLevel="2">
      <c r="A162" s="233"/>
      <c r="B162" s="233">
        <v>3</v>
      </c>
      <c r="C162" s="254" t="s">
        <v>275</v>
      </c>
      <c r="D162" s="250" t="s">
        <v>461</v>
      </c>
      <c r="E162" s="279"/>
      <c r="F162" s="233" t="s">
        <v>265</v>
      </c>
      <c r="G162" s="223">
        <v>3528</v>
      </c>
      <c r="H162" s="223">
        <f t="shared" ref="H162:H165" si="109">G162*K162</f>
        <v>125325.12344854366</v>
      </c>
      <c r="I162" s="223">
        <f t="shared" ref="I162:I165" si="110">G162*K162*(1+J162)</f>
        <v>125325.12344854366</v>
      </c>
      <c r="J162" s="197"/>
      <c r="K162" s="224">
        <f t="shared" si="104"/>
        <v>35.522994174757272</v>
      </c>
      <c r="L162" s="224">
        <f t="shared" si="105"/>
        <v>2.9330912621359211</v>
      </c>
      <c r="M162" s="224">
        <f t="shared" si="106"/>
        <v>32.589902912621348</v>
      </c>
      <c r="N162" s="225">
        <v>12</v>
      </c>
      <c r="O162" s="225">
        <f>0.0408*调差材料基价表!E15</f>
        <v>17.627184466019408</v>
      </c>
      <c r="P162" s="225">
        <v>0</v>
      </c>
      <c r="Q162" s="225">
        <v>0</v>
      </c>
      <c r="R162" s="226">
        <v>0.1</v>
      </c>
      <c r="S162" s="227">
        <f t="shared" si="108"/>
        <v>2.9627184466019409</v>
      </c>
      <c r="T162" s="228" t="s">
        <v>455</v>
      </c>
      <c r="U162" s="220"/>
    </row>
    <row r="163" spans="1:21" ht="42" outlineLevel="2">
      <c r="A163" s="233"/>
      <c r="B163" s="233">
        <v>3</v>
      </c>
      <c r="C163" s="254" t="s">
        <v>278</v>
      </c>
      <c r="D163" s="250" t="s">
        <v>447</v>
      </c>
      <c r="E163" s="279"/>
      <c r="F163" s="233" t="s">
        <v>265</v>
      </c>
      <c r="G163" s="223">
        <v>3528</v>
      </c>
      <c r="H163" s="223">
        <f t="shared" si="109"/>
        <v>0</v>
      </c>
      <c r="I163" s="223">
        <f t="shared" si="110"/>
        <v>0</v>
      </c>
      <c r="J163" s="197"/>
      <c r="K163" s="224"/>
      <c r="L163" s="224"/>
      <c r="M163" s="224"/>
      <c r="N163" s="225"/>
      <c r="O163" s="225"/>
      <c r="P163" s="225"/>
      <c r="Q163" s="225"/>
      <c r="R163" s="226"/>
      <c r="S163" s="227"/>
      <c r="T163" s="228"/>
      <c r="U163" s="220"/>
    </row>
    <row r="164" spans="1:21" ht="115.5" outlineLevel="2">
      <c r="A164" s="233"/>
      <c r="B164" s="233">
        <v>3</v>
      </c>
      <c r="C164" s="254" t="s">
        <v>308</v>
      </c>
      <c r="D164" s="250" t="s">
        <v>462</v>
      </c>
      <c r="E164" s="279"/>
      <c r="F164" s="233" t="s">
        <v>265</v>
      </c>
      <c r="G164" s="223">
        <v>3528</v>
      </c>
      <c r="H164" s="223">
        <f t="shared" si="109"/>
        <v>162607.25317281546</v>
      </c>
      <c r="I164" s="223">
        <f t="shared" si="110"/>
        <v>162607.25317281546</v>
      </c>
      <c r="J164" s="197"/>
      <c r="K164" s="224">
        <f>L164+M164</f>
        <v>46.090491262135899</v>
      </c>
      <c r="L164" s="224">
        <f>M164*0.09</f>
        <v>3.8056368932038813</v>
      </c>
      <c r="M164" s="224">
        <f>N164+O164+P164+Q164+S164</f>
        <v>42.284854368932017</v>
      </c>
      <c r="N164" s="225">
        <v>12</v>
      </c>
      <c r="O164" s="225">
        <f>0.0612*调差材料基价表!E15</f>
        <v>26.440776699029108</v>
      </c>
      <c r="P164" s="225">
        <v>0</v>
      </c>
      <c r="Q164" s="225">
        <v>0</v>
      </c>
      <c r="R164" s="226">
        <v>0.1</v>
      </c>
      <c r="S164" s="227">
        <f>SUM(N164:Q164)*R164</f>
        <v>3.8440776699029109</v>
      </c>
      <c r="T164" s="228" t="s">
        <v>449</v>
      </c>
      <c r="U164" s="220"/>
    </row>
    <row r="165" spans="1:21" ht="21" outlineLevel="2">
      <c r="A165" s="233"/>
      <c r="B165" s="233">
        <v>3</v>
      </c>
      <c r="C165" s="254" t="s">
        <v>457</v>
      </c>
      <c r="D165" s="250" t="s">
        <v>450</v>
      </c>
      <c r="E165" s="279"/>
      <c r="F165" s="233" t="s">
        <v>238</v>
      </c>
      <c r="G165" s="223">
        <v>7.3575028800000002</v>
      </c>
      <c r="H165" s="223">
        <f t="shared" si="109"/>
        <v>39397.470826633922</v>
      </c>
      <c r="I165" s="223">
        <f t="shared" si="110"/>
        <v>39397.470826633922</v>
      </c>
      <c r="J165" s="197"/>
      <c r="K165" s="224">
        <f t="shared" ref="K165" si="111">L165+M165</f>
        <v>5354.7340000000004</v>
      </c>
      <c r="L165" s="224">
        <f t="shared" ref="L165" si="112">M165*0.09</f>
        <v>442.13400000000001</v>
      </c>
      <c r="M165" s="224">
        <f t="shared" ref="M165" si="113">N165+O165+P165+Q165+S165</f>
        <v>4912.6000000000004</v>
      </c>
      <c r="N165" s="225">
        <v>800</v>
      </c>
      <c r="O165" s="225">
        <f>一级钢综合*1.02</f>
        <v>3621</v>
      </c>
      <c r="P165" s="225">
        <v>45</v>
      </c>
      <c r="Q165" s="225">
        <v>0</v>
      </c>
      <c r="R165" s="226">
        <v>0.1</v>
      </c>
      <c r="S165" s="227">
        <f t="shared" ref="S165" si="114">SUM(N165:Q165)*R165</f>
        <v>446.6</v>
      </c>
      <c r="T165" s="228" t="s">
        <v>253</v>
      </c>
      <c r="U165" s="220"/>
    </row>
    <row r="166" spans="1:21" ht="84" outlineLevel="1">
      <c r="A166" s="221">
        <v>5</v>
      </c>
      <c r="B166" s="221">
        <v>2</v>
      </c>
      <c r="C166" s="220" t="s">
        <v>463</v>
      </c>
      <c r="D166" s="222" t="s">
        <v>263</v>
      </c>
      <c r="E166" s="222" t="s">
        <v>431</v>
      </c>
      <c r="F166" s="221" t="s">
        <v>265</v>
      </c>
      <c r="G166" s="223">
        <v>0</v>
      </c>
      <c r="H166" s="223">
        <f t="shared" ref="H166:H176" si="115">G166*K166</f>
        <v>0</v>
      </c>
      <c r="I166" s="223">
        <f t="shared" ref="I166:I176" si="116">G166*K166*(1+J166)</f>
        <v>0</v>
      </c>
      <c r="J166" s="197"/>
      <c r="K166" s="224">
        <f t="shared" ref="K166:K176" si="117">L166+M166</f>
        <v>0</v>
      </c>
      <c r="L166" s="224">
        <f t="shared" ref="L166:L176" si="118">M166*0.09</f>
        <v>0</v>
      </c>
      <c r="M166" s="224">
        <f t="shared" ref="M166:M176" si="119">N166+O166+P166+Q166+S166</f>
        <v>0</v>
      </c>
      <c r="N166" s="225"/>
      <c r="O166" s="225"/>
      <c r="P166" s="225"/>
      <c r="Q166" s="225"/>
      <c r="R166" s="226">
        <v>0.1</v>
      </c>
      <c r="S166" s="227">
        <f t="shared" ref="S166:S176" si="120">SUM(N166:Q166)*R166</f>
        <v>0</v>
      </c>
      <c r="T166" s="238"/>
      <c r="U166" s="220"/>
    </row>
    <row r="167" spans="1:21" ht="84" outlineLevel="2">
      <c r="A167" s="221"/>
      <c r="B167" s="280">
        <v>2</v>
      </c>
      <c r="C167" s="278" t="s">
        <v>463</v>
      </c>
      <c r="D167" s="222" t="s">
        <v>263</v>
      </c>
      <c r="E167" s="222" t="s">
        <v>431</v>
      </c>
      <c r="F167" s="221" t="s">
        <v>265</v>
      </c>
      <c r="G167" s="223">
        <v>0</v>
      </c>
      <c r="H167" s="223">
        <f t="shared" si="115"/>
        <v>0</v>
      </c>
      <c r="I167" s="223">
        <f t="shared" si="116"/>
        <v>0</v>
      </c>
      <c r="J167" s="197"/>
      <c r="K167" s="224">
        <f t="shared" si="117"/>
        <v>0</v>
      </c>
      <c r="L167" s="224">
        <f t="shared" si="118"/>
        <v>0</v>
      </c>
      <c r="M167" s="224">
        <f t="shared" si="119"/>
        <v>0</v>
      </c>
      <c r="N167" s="225"/>
      <c r="O167" s="225"/>
      <c r="P167" s="225"/>
      <c r="Q167" s="225"/>
      <c r="R167" s="226">
        <v>0.1</v>
      </c>
      <c r="S167" s="227">
        <f t="shared" si="120"/>
        <v>0</v>
      </c>
      <c r="T167" s="228"/>
      <c r="U167" s="220"/>
    </row>
    <row r="168" spans="1:21" ht="31.5" outlineLevel="2">
      <c r="A168" s="221"/>
      <c r="B168" s="280">
        <v>3</v>
      </c>
      <c r="C168" s="278" t="s">
        <v>266</v>
      </c>
      <c r="D168" s="222" t="s">
        <v>464</v>
      </c>
      <c r="E168" s="281"/>
      <c r="F168" s="221" t="s">
        <v>265</v>
      </c>
      <c r="G168" s="223">
        <v>0</v>
      </c>
      <c r="H168" s="223">
        <f t="shared" si="115"/>
        <v>0</v>
      </c>
      <c r="I168" s="223">
        <f t="shared" si="116"/>
        <v>0</v>
      </c>
      <c r="J168" s="197"/>
      <c r="K168" s="224">
        <f t="shared" si="117"/>
        <v>23.380499999999998</v>
      </c>
      <c r="L168" s="224">
        <f t="shared" si="118"/>
        <v>1.9304999999999999</v>
      </c>
      <c r="M168" s="224">
        <f t="shared" si="119"/>
        <v>21.45</v>
      </c>
      <c r="N168" s="225">
        <v>13</v>
      </c>
      <c r="O168" s="225">
        <v>5</v>
      </c>
      <c r="P168" s="225">
        <v>1.5</v>
      </c>
      <c r="Q168" s="249"/>
      <c r="R168" s="226">
        <v>0.1</v>
      </c>
      <c r="S168" s="227">
        <f t="shared" si="120"/>
        <v>1.9500000000000002</v>
      </c>
      <c r="T168" s="228"/>
      <c r="U168" s="220"/>
    </row>
    <row r="169" spans="1:21" ht="42" outlineLevel="2">
      <c r="A169" s="221"/>
      <c r="B169" s="280"/>
      <c r="C169" s="278" t="s">
        <v>465</v>
      </c>
      <c r="D169" s="222" t="s">
        <v>466</v>
      </c>
      <c r="E169" s="281"/>
      <c r="F169" s="221" t="s">
        <v>265</v>
      </c>
      <c r="G169" s="223">
        <v>0</v>
      </c>
      <c r="H169" s="223">
        <f t="shared" si="115"/>
        <v>0</v>
      </c>
      <c r="I169" s="223">
        <f t="shared" si="116"/>
        <v>0</v>
      </c>
      <c r="J169" s="197"/>
      <c r="K169" s="224">
        <f t="shared" si="117"/>
        <v>23.679795495186408</v>
      </c>
      <c r="L169" s="224">
        <f t="shared" si="118"/>
        <v>1.9552124720796116</v>
      </c>
      <c r="M169" s="224">
        <f t="shared" si="119"/>
        <v>21.724583023106796</v>
      </c>
      <c r="N169" s="225">
        <v>12</v>
      </c>
      <c r="O169" s="225">
        <f>8.3022*调差材料基价表!E63/1000+调差材料基价表!E64*0.0271</f>
        <v>7.7496209300970857</v>
      </c>
      <c r="P169" s="225"/>
      <c r="Q169" s="225">
        <v>0</v>
      </c>
      <c r="R169" s="226">
        <v>0.1</v>
      </c>
      <c r="S169" s="227">
        <f t="shared" si="120"/>
        <v>1.9749620930097089</v>
      </c>
      <c r="T169" s="252" t="s">
        <v>324</v>
      </c>
      <c r="U169" s="220"/>
    </row>
    <row r="170" spans="1:21" ht="31.5" outlineLevel="2">
      <c r="A170" s="221"/>
      <c r="B170" s="280"/>
      <c r="C170" s="278" t="s">
        <v>467</v>
      </c>
      <c r="D170" s="222" t="s">
        <v>468</v>
      </c>
      <c r="E170" s="281"/>
      <c r="F170" s="221" t="s">
        <v>265</v>
      </c>
      <c r="G170" s="223">
        <v>0</v>
      </c>
      <c r="H170" s="223">
        <f t="shared" si="115"/>
        <v>0</v>
      </c>
      <c r="I170" s="223">
        <f t="shared" si="116"/>
        <v>0</v>
      </c>
      <c r="J170" s="197"/>
      <c r="K170" s="224">
        <f t="shared" si="117"/>
        <v>25.674897087378636</v>
      </c>
      <c r="L170" s="224">
        <f t="shared" si="118"/>
        <v>2.1199456310679605</v>
      </c>
      <c r="M170" s="224">
        <f t="shared" si="119"/>
        <v>23.554951456310675</v>
      </c>
      <c r="N170" s="225">
        <v>12</v>
      </c>
      <c r="O170" s="225">
        <f>0.0202*调差材料基价表!E49</f>
        <v>9.4135922330097053</v>
      </c>
      <c r="P170" s="225"/>
      <c r="Q170" s="225">
        <v>0</v>
      </c>
      <c r="R170" s="226">
        <v>0.1</v>
      </c>
      <c r="S170" s="227">
        <f t="shared" si="120"/>
        <v>2.1413592233009706</v>
      </c>
      <c r="T170" s="252" t="s">
        <v>469</v>
      </c>
      <c r="U170" s="220"/>
    </row>
    <row r="171" spans="1:21" ht="126" outlineLevel="2">
      <c r="A171" s="221"/>
      <c r="B171" s="280">
        <v>3</v>
      </c>
      <c r="C171" s="278" t="s">
        <v>275</v>
      </c>
      <c r="D171" s="222" t="s">
        <v>470</v>
      </c>
      <c r="E171" s="281"/>
      <c r="F171" s="221" t="s">
        <v>265</v>
      </c>
      <c r="G171" s="223">
        <v>0</v>
      </c>
      <c r="H171" s="223">
        <f t="shared" si="115"/>
        <v>0</v>
      </c>
      <c r="I171" s="223">
        <f t="shared" si="116"/>
        <v>0</v>
      </c>
      <c r="J171" s="197"/>
      <c r="K171" s="224">
        <f t="shared" si="117"/>
        <v>0</v>
      </c>
      <c r="L171" s="224">
        <f t="shared" si="118"/>
        <v>0</v>
      </c>
      <c r="M171" s="224">
        <f t="shared" si="119"/>
        <v>0</v>
      </c>
      <c r="N171" s="249"/>
      <c r="O171" s="249"/>
      <c r="P171" s="249"/>
      <c r="Q171" s="249"/>
      <c r="R171" s="226">
        <v>0.1</v>
      </c>
      <c r="S171" s="227">
        <f t="shared" si="120"/>
        <v>0</v>
      </c>
      <c r="T171" s="252"/>
      <c r="U171" s="220"/>
    </row>
    <row r="172" spans="1:21" ht="115.5" outlineLevel="2">
      <c r="A172" s="221"/>
      <c r="B172" s="280">
        <v>3</v>
      </c>
      <c r="C172" s="278" t="s">
        <v>278</v>
      </c>
      <c r="D172" s="222" t="s">
        <v>471</v>
      </c>
      <c r="E172" s="281"/>
      <c r="F172" s="221" t="s">
        <v>265</v>
      </c>
      <c r="G172" s="223">
        <v>0</v>
      </c>
      <c r="H172" s="223">
        <f t="shared" si="115"/>
        <v>0</v>
      </c>
      <c r="I172" s="223">
        <f t="shared" si="116"/>
        <v>0</v>
      </c>
      <c r="J172" s="197"/>
      <c r="K172" s="224">
        <f t="shared" si="117"/>
        <v>77.697417861308722</v>
      </c>
      <c r="L172" s="224">
        <f t="shared" si="118"/>
        <v>6.4153831261631051</v>
      </c>
      <c r="M172" s="224">
        <f t="shared" si="119"/>
        <v>71.282034735145615</v>
      </c>
      <c r="N172" s="225">
        <v>24.12</v>
      </c>
      <c r="O172" s="225">
        <f>0.071*调差材料基价表!E29</f>
        <v>33.087378640776684</v>
      </c>
      <c r="P172" s="225">
        <f>6.5268*调差材料基价表!E63/1000+调差材料基价表!E64*0.0299</f>
        <v>7.5944711184466005</v>
      </c>
      <c r="Q172" s="225">
        <v>0</v>
      </c>
      <c r="R172" s="226">
        <v>0.1</v>
      </c>
      <c r="S172" s="227">
        <f t="shared" si="120"/>
        <v>6.4801849759223291</v>
      </c>
      <c r="T172" s="252" t="s">
        <v>472</v>
      </c>
      <c r="U172" s="220"/>
    </row>
    <row r="173" spans="1:21" ht="84" outlineLevel="1">
      <c r="A173" s="221">
        <v>6</v>
      </c>
      <c r="B173" s="221">
        <v>2</v>
      </c>
      <c r="C173" s="220" t="s">
        <v>473</v>
      </c>
      <c r="D173" s="222" t="s">
        <v>263</v>
      </c>
      <c r="E173" s="222" t="s">
        <v>431</v>
      </c>
      <c r="F173" s="221" t="s">
        <v>265</v>
      </c>
      <c r="G173" s="223">
        <v>0</v>
      </c>
      <c r="H173" s="223">
        <f t="shared" si="115"/>
        <v>0</v>
      </c>
      <c r="I173" s="223">
        <f t="shared" si="116"/>
        <v>0</v>
      </c>
      <c r="J173" s="197"/>
      <c r="K173" s="224">
        <f t="shared" si="117"/>
        <v>0</v>
      </c>
      <c r="L173" s="224">
        <f t="shared" si="118"/>
        <v>0</v>
      </c>
      <c r="M173" s="224">
        <f t="shared" si="119"/>
        <v>0</v>
      </c>
      <c r="N173" s="225"/>
      <c r="O173" s="225"/>
      <c r="P173" s="225"/>
      <c r="Q173" s="225"/>
      <c r="R173" s="226">
        <v>0.1</v>
      </c>
      <c r="S173" s="227">
        <f t="shared" si="120"/>
        <v>0</v>
      </c>
      <c r="T173" s="238"/>
      <c r="U173" s="220"/>
    </row>
    <row r="174" spans="1:21" ht="84" outlineLevel="2">
      <c r="A174" s="221"/>
      <c r="B174" s="221">
        <v>2</v>
      </c>
      <c r="C174" s="222" t="s">
        <v>474</v>
      </c>
      <c r="D174" s="222" t="s">
        <v>263</v>
      </c>
      <c r="E174" s="222" t="s">
        <v>431</v>
      </c>
      <c r="F174" s="221" t="s">
        <v>265</v>
      </c>
      <c r="G174" s="223">
        <v>0</v>
      </c>
      <c r="H174" s="223">
        <f t="shared" si="115"/>
        <v>0</v>
      </c>
      <c r="I174" s="223">
        <f t="shared" si="116"/>
        <v>0</v>
      </c>
      <c r="J174" s="197"/>
      <c r="K174" s="224">
        <f t="shared" si="117"/>
        <v>0</v>
      </c>
      <c r="L174" s="224">
        <f t="shared" si="118"/>
        <v>0</v>
      </c>
      <c r="M174" s="224">
        <f t="shared" si="119"/>
        <v>0</v>
      </c>
      <c r="N174" s="225"/>
      <c r="O174" s="225"/>
      <c r="P174" s="225"/>
      <c r="Q174" s="225"/>
      <c r="R174" s="226">
        <v>0.1</v>
      </c>
      <c r="S174" s="227">
        <f t="shared" si="120"/>
        <v>0</v>
      </c>
      <c r="T174" s="228"/>
      <c r="U174" s="220"/>
    </row>
    <row r="175" spans="1:21" ht="63" outlineLevel="2">
      <c r="A175" s="221"/>
      <c r="B175" s="221">
        <v>3</v>
      </c>
      <c r="C175" s="221" t="s">
        <v>266</v>
      </c>
      <c r="D175" s="222" t="s">
        <v>475</v>
      </c>
      <c r="E175" s="222"/>
      <c r="F175" s="221" t="s">
        <v>265</v>
      </c>
      <c r="G175" s="223">
        <v>0</v>
      </c>
      <c r="H175" s="223">
        <f t="shared" si="115"/>
        <v>0</v>
      </c>
      <c r="I175" s="223">
        <f t="shared" si="116"/>
        <v>0</v>
      </c>
      <c r="J175" s="197"/>
      <c r="K175" s="224">
        <f t="shared" si="117"/>
        <v>23.380499999999998</v>
      </c>
      <c r="L175" s="224">
        <f t="shared" si="118"/>
        <v>1.9304999999999999</v>
      </c>
      <c r="M175" s="224">
        <f t="shared" si="119"/>
        <v>21.45</v>
      </c>
      <c r="N175" s="225">
        <v>13</v>
      </c>
      <c r="O175" s="225">
        <v>5</v>
      </c>
      <c r="P175" s="225">
        <v>1.5</v>
      </c>
      <c r="Q175" s="249"/>
      <c r="R175" s="226">
        <v>0.1</v>
      </c>
      <c r="S175" s="227">
        <f t="shared" si="120"/>
        <v>1.9500000000000002</v>
      </c>
      <c r="T175" s="228"/>
      <c r="U175" s="220"/>
    </row>
    <row r="176" spans="1:21" ht="115.5" outlineLevel="2">
      <c r="A176" s="221"/>
      <c r="B176" s="221">
        <v>3</v>
      </c>
      <c r="C176" s="221" t="s">
        <v>269</v>
      </c>
      <c r="D176" s="222" t="s">
        <v>476</v>
      </c>
      <c r="E176" s="222"/>
      <c r="F176" s="221" t="s">
        <v>265</v>
      </c>
      <c r="G176" s="223">
        <v>0</v>
      </c>
      <c r="H176" s="223">
        <f t="shared" si="115"/>
        <v>0</v>
      </c>
      <c r="I176" s="223">
        <f t="shared" si="116"/>
        <v>0</v>
      </c>
      <c r="J176" s="197"/>
      <c r="K176" s="224">
        <f t="shared" si="117"/>
        <v>77.697417861308722</v>
      </c>
      <c r="L176" s="224">
        <f t="shared" si="118"/>
        <v>6.4153831261631051</v>
      </c>
      <c r="M176" s="224">
        <f t="shared" si="119"/>
        <v>71.282034735145615</v>
      </c>
      <c r="N176" s="225">
        <v>24.12</v>
      </c>
      <c r="O176" s="225">
        <f>0.071*调差材料基价表!E29</f>
        <v>33.087378640776684</v>
      </c>
      <c r="P176" s="225">
        <f>6.5268*调差材料基价表!E63/1000+调差材料基价表!E64*0.0299</f>
        <v>7.5944711184466005</v>
      </c>
      <c r="Q176" s="225">
        <v>0</v>
      </c>
      <c r="R176" s="226">
        <v>0.1</v>
      </c>
      <c r="S176" s="227">
        <f t="shared" si="120"/>
        <v>6.4801849759223291</v>
      </c>
      <c r="T176" s="252" t="s">
        <v>472</v>
      </c>
      <c r="U176" s="220"/>
    </row>
    <row r="177" spans="1:21" ht="42" outlineLevel="1">
      <c r="A177" s="233">
        <v>7</v>
      </c>
      <c r="B177" s="233">
        <v>2</v>
      </c>
      <c r="C177" s="233" t="s">
        <v>477</v>
      </c>
      <c r="D177" s="250" t="s">
        <v>263</v>
      </c>
      <c r="E177" s="250" t="s">
        <v>478</v>
      </c>
      <c r="F177" s="233" t="s">
        <v>479</v>
      </c>
      <c r="G177" s="223">
        <v>3375</v>
      </c>
      <c r="H177" s="223"/>
      <c r="I177" s="223"/>
      <c r="J177" s="197"/>
      <c r="K177" s="224"/>
      <c r="L177" s="224"/>
      <c r="M177" s="224"/>
      <c r="N177" s="225"/>
      <c r="O177" s="225"/>
      <c r="P177" s="225"/>
      <c r="Q177" s="225"/>
      <c r="R177" s="226"/>
      <c r="S177" s="227"/>
      <c r="T177" s="252"/>
      <c r="U177" s="220"/>
    </row>
    <row r="178" spans="1:21" ht="31.5" outlineLevel="2">
      <c r="A178" s="233"/>
      <c r="B178" s="233">
        <v>3</v>
      </c>
      <c r="C178" s="254" t="s">
        <v>266</v>
      </c>
      <c r="D178" s="250" t="s">
        <v>480</v>
      </c>
      <c r="E178" s="250"/>
      <c r="F178" s="233" t="s">
        <v>481</v>
      </c>
      <c r="G178" s="223">
        <v>10125</v>
      </c>
      <c r="H178" s="223">
        <f t="shared" ref="H178:H180" si="121">G178*K178</f>
        <v>6069.9375</v>
      </c>
      <c r="I178" s="223">
        <f t="shared" ref="I178:I180" si="122">G178*K178*(1+J178)</f>
        <v>6069.9375</v>
      </c>
      <c r="J178" s="197"/>
      <c r="K178" s="224">
        <f t="shared" ref="K178:K180" si="123">L178+M178</f>
        <v>0.59950000000000003</v>
      </c>
      <c r="L178" s="224">
        <f t="shared" ref="L178:L180" si="124">M178*0.09</f>
        <v>4.9500000000000002E-2</v>
      </c>
      <c r="M178" s="224">
        <f t="shared" ref="M178:M180" si="125">N178+O178+P178+Q178+S178</f>
        <v>0.55000000000000004</v>
      </c>
      <c r="N178" s="225">
        <v>0.5</v>
      </c>
      <c r="O178" s="225"/>
      <c r="P178" s="225"/>
      <c r="Q178" s="225"/>
      <c r="R178" s="226">
        <v>0.1</v>
      </c>
      <c r="S178" s="227">
        <f t="shared" ref="S178:S180" si="126">SUM(N178:Q178)*R178</f>
        <v>0.05</v>
      </c>
      <c r="T178" s="252"/>
      <c r="U178" s="220"/>
    </row>
    <row r="179" spans="1:21" ht="63" outlineLevel="2">
      <c r="A179" s="233"/>
      <c r="B179" s="233">
        <v>3</v>
      </c>
      <c r="C179" s="254" t="s">
        <v>269</v>
      </c>
      <c r="D179" s="250" t="s">
        <v>2021</v>
      </c>
      <c r="E179" s="250" t="s">
        <v>482</v>
      </c>
      <c r="F179" s="233" t="s">
        <v>162</v>
      </c>
      <c r="G179" s="223">
        <v>525</v>
      </c>
      <c r="H179" s="223">
        <f t="shared" si="121"/>
        <v>349043.88750000001</v>
      </c>
      <c r="I179" s="223">
        <f t="shared" si="122"/>
        <v>349043.88750000001</v>
      </c>
      <c r="J179" s="197"/>
      <c r="K179" s="224">
        <f t="shared" si="123"/>
        <v>664.84550000000002</v>
      </c>
      <c r="L179" s="224">
        <f t="shared" si="124"/>
        <v>54.895500000000006</v>
      </c>
      <c r="M179" s="224">
        <f t="shared" si="125"/>
        <v>609.95000000000005</v>
      </c>
      <c r="N179" s="221">
        <v>50</v>
      </c>
      <c r="O179" s="221">
        <f>500</f>
        <v>500</v>
      </c>
      <c r="P179" s="282">
        <v>3</v>
      </c>
      <c r="Q179" s="282">
        <v>1.5</v>
      </c>
      <c r="R179" s="226">
        <v>0.1</v>
      </c>
      <c r="S179" s="227">
        <f t="shared" si="126"/>
        <v>55.45</v>
      </c>
      <c r="T179" s="252"/>
      <c r="U179" s="220"/>
    </row>
    <row r="180" spans="1:21" ht="52.5" outlineLevel="2">
      <c r="A180" s="233"/>
      <c r="B180" s="233">
        <v>3</v>
      </c>
      <c r="C180" s="254" t="s">
        <v>275</v>
      </c>
      <c r="D180" s="250" t="s">
        <v>483</v>
      </c>
      <c r="E180" s="250"/>
      <c r="F180" s="233" t="s">
        <v>265</v>
      </c>
      <c r="G180" s="223">
        <v>3375</v>
      </c>
      <c r="H180" s="223">
        <f t="shared" si="121"/>
        <v>58676.0625</v>
      </c>
      <c r="I180" s="223">
        <f t="shared" si="122"/>
        <v>58676.0625</v>
      </c>
      <c r="J180" s="197"/>
      <c r="K180" s="224">
        <f t="shared" si="123"/>
        <v>17.3855</v>
      </c>
      <c r="L180" s="224">
        <f t="shared" si="124"/>
        <v>1.4354999999999998</v>
      </c>
      <c r="M180" s="224">
        <f t="shared" si="125"/>
        <v>15.95</v>
      </c>
      <c r="N180" s="282">
        <v>8.5</v>
      </c>
      <c r="O180" s="225">
        <v>5</v>
      </c>
      <c r="P180" s="282">
        <v>1</v>
      </c>
      <c r="Q180" s="282">
        <v>0</v>
      </c>
      <c r="R180" s="226">
        <v>0.1</v>
      </c>
      <c r="S180" s="227">
        <f t="shared" si="126"/>
        <v>1.4500000000000002</v>
      </c>
      <c r="T180" s="283"/>
      <c r="U180" s="284"/>
    </row>
    <row r="181" spans="1:21" ht="84" outlineLevel="1">
      <c r="A181" s="221">
        <v>8</v>
      </c>
      <c r="B181" s="221">
        <v>2</v>
      </c>
      <c r="C181" s="220" t="s">
        <v>484</v>
      </c>
      <c r="D181" s="222" t="s">
        <v>263</v>
      </c>
      <c r="E181" s="222" t="s">
        <v>431</v>
      </c>
      <c r="F181" s="221" t="s">
        <v>265</v>
      </c>
      <c r="G181" s="223">
        <v>0</v>
      </c>
      <c r="H181" s="223">
        <f t="shared" ref="H181:H189" si="127">G181*K181</f>
        <v>0</v>
      </c>
      <c r="I181" s="223">
        <f t="shared" ref="I181:I189" si="128">G181*K181*(1+J181)</f>
        <v>0</v>
      </c>
      <c r="J181" s="197"/>
      <c r="K181" s="224">
        <f t="shared" ref="K181:K189" si="129">L181+M181</f>
        <v>0</v>
      </c>
      <c r="L181" s="224">
        <f t="shared" ref="L181:L189" si="130">M181*0.09</f>
        <v>0</v>
      </c>
      <c r="M181" s="224">
        <f t="shared" ref="M181:M189" si="131">N181+O181+P181+Q181+S181</f>
        <v>0</v>
      </c>
      <c r="N181" s="225"/>
      <c r="O181" s="225"/>
      <c r="P181" s="225"/>
      <c r="Q181" s="225"/>
      <c r="R181" s="226">
        <v>0.1</v>
      </c>
      <c r="S181" s="227">
        <f t="shared" ref="S181:S189" si="132">SUM(N181:Q181)*R181</f>
        <v>0</v>
      </c>
      <c r="T181" s="238"/>
      <c r="U181" s="220"/>
    </row>
    <row r="182" spans="1:21" ht="21" outlineLevel="2">
      <c r="A182" s="221"/>
      <c r="B182" s="221">
        <v>3</v>
      </c>
      <c r="C182" s="220" t="s">
        <v>266</v>
      </c>
      <c r="D182" s="222" t="s">
        <v>485</v>
      </c>
      <c r="E182" s="222"/>
      <c r="F182" s="221" t="s">
        <v>265</v>
      </c>
      <c r="G182" s="223">
        <v>0</v>
      </c>
      <c r="H182" s="223">
        <f t="shared" si="127"/>
        <v>0</v>
      </c>
      <c r="I182" s="223">
        <f t="shared" si="128"/>
        <v>0</v>
      </c>
      <c r="J182" s="197"/>
      <c r="K182" s="224">
        <f t="shared" si="129"/>
        <v>1.1990000000000001</v>
      </c>
      <c r="L182" s="224">
        <f t="shared" si="130"/>
        <v>9.9000000000000005E-2</v>
      </c>
      <c r="M182" s="224">
        <f t="shared" si="131"/>
        <v>1.1000000000000001</v>
      </c>
      <c r="N182" s="225">
        <v>1</v>
      </c>
      <c r="O182" s="225">
        <v>0</v>
      </c>
      <c r="P182" s="225">
        <v>0</v>
      </c>
      <c r="Q182" s="225">
        <v>0</v>
      </c>
      <c r="R182" s="226">
        <v>0.1</v>
      </c>
      <c r="S182" s="227">
        <f t="shared" si="132"/>
        <v>0.1</v>
      </c>
      <c r="T182" s="228"/>
      <c r="U182" s="220"/>
    </row>
    <row r="183" spans="1:21" ht="42" outlineLevel="2">
      <c r="A183" s="221"/>
      <c r="B183" s="221">
        <v>3</v>
      </c>
      <c r="C183" s="220" t="s">
        <v>269</v>
      </c>
      <c r="D183" s="222" t="s">
        <v>486</v>
      </c>
      <c r="E183" s="222"/>
      <c r="F183" s="221" t="s">
        <v>265</v>
      </c>
      <c r="G183" s="223">
        <v>0</v>
      </c>
      <c r="H183" s="223">
        <f t="shared" si="127"/>
        <v>0</v>
      </c>
      <c r="I183" s="223">
        <f t="shared" si="128"/>
        <v>0</v>
      </c>
      <c r="J183" s="197"/>
      <c r="K183" s="224">
        <f t="shared" si="129"/>
        <v>33.860691262135902</v>
      </c>
      <c r="L183" s="224">
        <f t="shared" si="130"/>
        <v>2.7958368932038815</v>
      </c>
      <c r="M183" s="224">
        <f t="shared" si="131"/>
        <v>31.064854368932018</v>
      </c>
      <c r="N183" s="225">
        <v>12</v>
      </c>
      <c r="O183" s="225">
        <f>0.0408*调差材料基价表!E12</f>
        <v>16.240776699029109</v>
      </c>
      <c r="P183" s="225"/>
      <c r="Q183" s="225">
        <v>0</v>
      </c>
      <c r="R183" s="226">
        <v>0.1</v>
      </c>
      <c r="S183" s="227">
        <f t="shared" si="132"/>
        <v>2.8240776699029109</v>
      </c>
      <c r="T183" s="252" t="s">
        <v>487</v>
      </c>
      <c r="U183" s="220"/>
    </row>
    <row r="184" spans="1:21" ht="136.5" outlineLevel="2">
      <c r="A184" s="221"/>
      <c r="B184" s="221">
        <v>3</v>
      </c>
      <c r="C184" s="220" t="s">
        <v>275</v>
      </c>
      <c r="D184" s="222" t="s">
        <v>488</v>
      </c>
      <c r="E184" s="222"/>
      <c r="F184" s="221" t="s">
        <v>265</v>
      </c>
      <c r="G184" s="223">
        <v>0</v>
      </c>
      <c r="H184" s="223">
        <f t="shared" si="127"/>
        <v>0</v>
      </c>
      <c r="I184" s="223">
        <f t="shared" si="128"/>
        <v>0</v>
      </c>
      <c r="J184" s="197"/>
      <c r="K184" s="224">
        <f t="shared" si="129"/>
        <v>26.378</v>
      </c>
      <c r="L184" s="224">
        <f t="shared" si="130"/>
        <v>2.1779999999999999</v>
      </c>
      <c r="M184" s="224">
        <f t="shared" si="131"/>
        <v>24.2</v>
      </c>
      <c r="N184" s="225">
        <v>15</v>
      </c>
      <c r="O184" s="225">
        <v>5</v>
      </c>
      <c r="P184" s="225">
        <v>2</v>
      </c>
      <c r="Q184" s="249"/>
      <c r="R184" s="226">
        <v>0.1</v>
      </c>
      <c r="S184" s="227">
        <f t="shared" si="132"/>
        <v>2.2000000000000002</v>
      </c>
      <c r="T184" s="228"/>
      <c r="U184" s="220"/>
    </row>
    <row r="185" spans="1:21" ht="94.5" outlineLevel="2">
      <c r="A185" s="221"/>
      <c r="B185" s="221">
        <v>3</v>
      </c>
      <c r="C185" s="220" t="s">
        <v>278</v>
      </c>
      <c r="D185" s="222" t="s">
        <v>489</v>
      </c>
      <c r="E185" s="222"/>
      <c r="F185" s="221" t="s">
        <v>265</v>
      </c>
      <c r="G185" s="223">
        <v>0</v>
      </c>
      <c r="H185" s="223">
        <f t="shared" si="127"/>
        <v>0</v>
      </c>
      <c r="I185" s="223">
        <f t="shared" si="128"/>
        <v>0</v>
      </c>
      <c r="J185" s="197"/>
      <c r="K185" s="224">
        <f t="shared" si="129"/>
        <v>61.245834965048545</v>
      </c>
      <c r="L185" s="224">
        <f t="shared" si="130"/>
        <v>5.0569955475728152</v>
      </c>
      <c r="M185" s="224">
        <f t="shared" si="131"/>
        <v>56.188839417475727</v>
      </c>
      <c r="N185" s="225">
        <v>14</v>
      </c>
      <c r="O185" s="225">
        <f>0.0714*调差材料基价表!E13</f>
        <v>29.114563106796108</v>
      </c>
      <c r="P185" s="225">
        <f>(1/0.2+1)*2*0.187*调差材料基价表!E4/1000</f>
        <v>7.9661999999999988</v>
      </c>
      <c r="Q185" s="225">
        <v>0</v>
      </c>
      <c r="R185" s="226">
        <v>0.1</v>
      </c>
      <c r="S185" s="227">
        <f t="shared" si="132"/>
        <v>5.1080763106796114</v>
      </c>
      <c r="T185" s="252" t="s">
        <v>490</v>
      </c>
      <c r="U185" s="220"/>
    </row>
    <row r="186" spans="1:21" ht="52.5" outlineLevel="2">
      <c r="A186" s="221"/>
      <c r="B186" s="221">
        <v>3</v>
      </c>
      <c r="C186" s="220" t="s">
        <v>308</v>
      </c>
      <c r="D186" s="222" t="s">
        <v>491</v>
      </c>
      <c r="E186" s="222"/>
      <c r="F186" s="221" t="s">
        <v>265</v>
      </c>
      <c r="G186" s="223">
        <v>0</v>
      </c>
      <c r="H186" s="223">
        <f t="shared" si="127"/>
        <v>0</v>
      </c>
      <c r="I186" s="223">
        <f t="shared" si="128"/>
        <v>0</v>
      </c>
      <c r="J186" s="197"/>
      <c r="K186" s="224">
        <f t="shared" si="129"/>
        <v>0</v>
      </c>
      <c r="L186" s="224">
        <f t="shared" si="130"/>
        <v>0</v>
      </c>
      <c r="M186" s="224">
        <f t="shared" si="131"/>
        <v>0</v>
      </c>
      <c r="N186" s="225"/>
      <c r="O186" s="225"/>
      <c r="P186" s="225"/>
      <c r="Q186" s="225"/>
      <c r="R186" s="226">
        <v>0.1</v>
      </c>
      <c r="S186" s="227">
        <f t="shared" si="132"/>
        <v>0</v>
      </c>
      <c r="T186" s="228"/>
      <c r="U186" s="220"/>
    </row>
    <row r="187" spans="1:21" ht="31.5" outlineLevel="2">
      <c r="A187" s="221"/>
      <c r="B187" s="221">
        <v>4</v>
      </c>
      <c r="C187" s="220">
        <v>5.0999999999999996</v>
      </c>
      <c r="D187" s="222" t="s">
        <v>492</v>
      </c>
      <c r="E187" s="222"/>
      <c r="F187" s="221" t="s">
        <v>265</v>
      </c>
      <c r="G187" s="223">
        <v>0</v>
      </c>
      <c r="H187" s="223">
        <f t="shared" si="127"/>
        <v>0</v>
      </c>
      <c r="I187" s="223">
        <f t="shared" si="128"/>
        <v>0</v>
      </c>
      <c r="J187" s="197"/>
      <c r="K187" s="224">
        <f t="shared" si="129"/>
        <v>22.601150000000004</v>
      </c>
      <c r="L187" s="224">
        <f t="shared" si="130"/>
        <v>1.8661500000000002</v>
      </c>
      <c r="M187" s="224">
        <f t="shared" si="131"/>
        <v>20.735000000000003</v>
      </c>
      <c r="N187" s="225">
        <v>10</v>
      </c>
      <c r="O187" s="225">
        <f>调差材料基价表!E65*0.15</f>
        <v>8.85</v>
      </c>
      <c r="P187" s="225"/>
      <c r="Q187" s="225">
        <v>0</v>
      </c>
      <c r="R187" s="226">
        <v>0.1</v>
      </c>
      <c r="S187" s="227">
        <f t="shared" si="132"/>
        <v>1.8850000000000002</v>
      </c>
      <c r="T187" s="228"/>
      <c r="U187" s="220"/>
    </row>
    <row r="188" spans="1:21" ht="42" outlineLevel="2">
      <c r="A188" s="221"/>
      <c r="B188" s="221">
        <v>4</v>
      </c>
      <c r="C188" s="220">
        <v>5.2</v>
      </c>
      <c r="D188" s="222" t="s">
        <v>493</v>
      </c>
      <c r="E188" s="222"/>
      <c r="F188" s="221" t="s">
        <v>265</v>
      </c>
      <c r="G188" s="223">
        <v>0</v>
      </c>
      <c r="H188" s="223">
        <f t="shared" si="127"/>
        <v>0</v>
      </c>
      <c r="I188" s="223">
        <f t="shared" si="128"/>
        <v>0</v>
      </c>
      <c r="J188" s="197"/>
      <c r="K188" s="224">
        <f t="shared" si="129"/>
        <v>22.601150000000004</v>
      </c>
      <c r="L188" s="224">
        <f t="shared" si="130"/>
        <v>1.8661500000000002</v>
      </c>
      <c r="M188" s="224">
        <f t="shared" si="131"/>
        <v>20.735000000000003</v>
      </c>
      <c r="N188" s="225">
        <v>10</v>
      </c>
      <c r="O188" s="225">
        <f>调差材料基价表!E65*0.15</f>
        <v>8.85</v>
      </c>
      <c r="P188" s="225"/>
      <c r="Q188" s="225">
        <v>0</v>
      </c>
      <c r="R188" s="226">
        <v>0.1</v>
      </c>
      <c r="S188" s="227">
        <f t="shared" si="132"/>
        <v>1.8850000000000002</v>
      </c>
      <c r="T188" s="228"/>
      <c r="U188" s="220"/>
    </row>
    <row r="189" spans="1:21" ht="52.5" outlineLevel="2">
      <c r="A189" s="221"/>
      <c r="B189" s="221">
        <v>3</v>
      </c>
      <c r="C189" s="220" t="s">
        <v>457</v>
      </c>
      <c r="D189" s="222" t="s">
        <v>494</v>
      </c>
      <c r="E189" s="222"/>
      <c r="F189" s="221" t="s">
        <v>265</v>
      </c>
      <c r="G189" s="223">
        <v>0</v>
      </c>
      <c r="H189" s="223">
        <f t="shared" si="127"/>
        <v>0</v>
      </c>
      <c r="I189" s="223">
        <f t="shared" si="128"/>
        <v>0</v>
      </c>
      <c r="J189" s="197"/>
      <c r="K189" s="224">
        <f t="shared" si="129"/>
        <v>6.0156724137931104</v>
      </c>
      <c r="L189" s="224">
        <f t="shared" si="130"/>
        <v>0.49670689655172467</v>
      </c>
      <c r="M189" s="224">
        <f t="shared" si="131"/>
        <v>5.5189655172413854</v>
      </c>
      <c r="N189" s="225">
        <v>2</v>
      </c>
      <c r="O189" s="225">
        <v>3.0172413793103501</v>
      </c>
      <c r="P189" s="225"/>
      <c r="Q189" s="225">
        <v>0</v>
      </c>
      <c r="R189" s="226">
        <v>0.1</v>
      </c>
      <c r="S189" s="227">
        <f t="shared" si="132"/>
        <v>0.5017241379310351</v>
      </c>
      <c r="T189" s="228"/>
      <c r="U189" s="220"/>
    </row>
    <row r="190" spans="1:21" ht="52.5" outlineLevel="1">
      <c r="A190" s="233">
        <v>9</v>
      </c>
      <c r="B190" s="233">
        <v>2</v>
      </c>
      <c r="C190" s="254" t="s">
        <v>495</v>
      </c>
      <c r="D190" s="250" t="s">
        <v>263</v>
      </c>
      <c r="E190" s="250" t="s">
        <v>496</v>
      </c>
      <c r="F190" s="233" t="s">
        <v>265</v>
      </c>
      <c r="G190" s="223">
        <v>6600</v>
      </c>
      <c r="H190" s="223">
        <f t="shared" ref="H190:H196" si="133">G190*K190</f>
        <v>0</v>
      </c>
      <c r="I190" s="223">
        <f t="shared" ref="I190:I196" si="134">G190*K190*(1+J190)</f>
        <v>0</v>
      </c>
      <c r="J190" s="197"/>
      <c r="K190" s="224"/>
      <c r="L190" s="224"/>
      <c r="M190" s="224"/>
      <c r="N190" s="225"/>
      <c r="O190" s="225"/>
      <c r="P190" s="225"/>
      <c r="Q190" s="225"/>
      <c r="R190" s="226"/>
      <c r="S190" s="227"/>
      <c r="T190" s="228"/>
      <c r="U190" s="220"/>
    </row>
    <row r="191" spans="1:21" ht="73.5" outlineLevel="2">
      <c r="A191" s="233"/>
      <c r="B191" s="233">
        <v>3</v>
      </c>
      <c r="C191" s="254" t="s">
        <v>266</v>
      </c>
      <c r="D191" s="250" t="s">
        <v>497</v>
      </c>
      <c r="E191" s="250"/>
      <c r="F191" s="233" t="s">
        <v>265</v>
      </c>
      <c r="G191" s="223">
        <v>6600</v>
      </c>
      <c r="H191" s="223">
        <f t="shared" si="133"/>
        <v>223480.56233009696</v>
      </c>
      <c r="I191" s="223">
        <f t="shared" si="134"/>
        <v>223480.56233009696</v>
      </c>
      <c r="J191" s="197"/>
      <c r="K191" s="224">
        <f t="shared" ref="K191:K193" si="135">L191+M191</f>
        <v>33.860691262135902</v>
      </c>
      <c r="L191" s="224">
        <f t="shared" ref="L191:L193" si="136">M191*0.09</f>
        <v>2.7958368932038815</v>
      </c>
      <c r="M191" s="224">
        <f t="shared" ref="M191:M193" si="137">N191+O191+P191+Q191+S191</f>
        <v>31.064854368932018</v>
      </c>
      <c r="N191" s="225">
        <v>12</v>
      </c>
      <c r="O191" s="225">
        <f>0.0408*调差材料基价表!E12</f>
        <v>16.240776699029109</v>
      </c>
      <c r="P191" s="225"/>
      <c r="Q191" s="225">
        <v>0</v>
      </c>
      <c r="R191" s="226">
        <v>0.1</v>
      </c>
      <c r="S191" s="227">
        <f t="shared" ref="S191:S193" si="138">SUM(N191:Q191)*R191</f>
        <v>2.8240776699029109</v>
      </c>
      <c r="T191" s="252" t="s">
        <v>487</v>
      </c>
      <c r="U191" s="220"/>
    </row>
    <row r="192" spans="1:21" ht="31.5" outlineLevel="2">
      <c r="A192" s="233"/>
      <c r="B192" s="233">
        <v>3</v>
      </c>
      <c r="C192" s="254" t="s">
        <v>269</v>
      </c>
      <c r="D192" s="250" t="s">
        <v>498</v>
      </c>
      <c r="E192" s="250"/>
      <c r="F192" s="233" t="s">
        <v>265</v>
      </c>
      <c r="G192" s="223">
        <v>6600</v>
      </c>
      <c r="H192" s="223">
        <f t="shared" si="133"/>
        <v>466890.6</v>
      </c>
      <c r="I192" s="223">
        <f t="shared" si="134"/>
        <v>466890.6</v>
      </c>
      <c r="J192" s="197"/>
      <c r="K192" s="224">
        <f t="shared" si="135"/>
        <v>70.741</v>
      </c>
      <c r="L192" s="224">
        <f t="shared" si="136"/>
        <v>5.8410000000000002</v>
      </c>
      <c r="M192" s="224">
        <f t="shared" si="137"/>
        <v>64.900000000000006</v>
      </c>
      <c r="N192" s="225">
        <v>6</v>
      </c>
      <c r="O192" s="225">
        <v>50</v>
      </c>
      <c r="P192" s="225">
        <v>3</v>
      </c>
      <c r="Q192" s="225"/>
      <c r="R192" s="226">
        <v>0.1</v>
      </c>
      <c r="S192" s="227">
        <f t="shared" si="138"/>
        <v>5.9</v>
      </c>
      <c r="T192" s="228"/>
      <c r="U192" s="220"/>
    </row>
    <row r="193" spans="1:22" ht="84" outlineLevel="2">
      <c r="A193" s="233"/>
      <c r="B193" s="233">
        <v>3</v>
      </c>
      <c r="C193" s="254" t="s">
        <v>275</v>
      </c>
      <c r="D193" s="250" t="s">
        <v>499</v>
      </c>
      <c r="E193" s="250"/>
      <c r="F193" s="233" t="s">
        <v>265</v>
      </c>
      <c r="G193" s="223">
        <v>6600</v>
      </c>
      <c r="H193" s="223">
        <f t="shared" si="133"/>
        <v>259528.78834951448</v>
      </c>
      <c r="I193" s="223">
        <f t="shared" si="134"/>
        <v>259528.78834951448</v>
      </c>
      <c r="J193" s="197"/>
      <c r="K193" s="224">
        <f t="shared" si="135"/>
        <v>39.322543689320376</v>
      </c>
      <c r="L193" s="224">
        <f t="shared" si="136"/>
        <v>3.2468155339805813</v>
      </c>
      <c r="M193" s="224">
        <f t="shared" si="137"/>
        <v>36.075728155339796</v>
      </c>
      <c r="N193" s="225">
        <v>12</v>
      </c>
      <c r="O193" s="225">
        <f>0.051*调差材料基价表!E13</f>
        <v>20.796116504854361</v>
      </c>
      <c r="P193" s="225">
        <v>0</v>
      </c>
      <c r="Q193" s="225">
        <v>0</v>
      </c>
      <c r="R193" s="226">
        <v>0.1</v>
      </c>
      <c r="S193" s="227">
        <f t="shared" si="138"/>
        <v>3.2796116504854362</v>
      </c>
      <c r="T193" s="252" t="s">
        <v>500</v>
      </c>
      <c r="U193" s="220"/>
    </row>
    <row r="194" spans="1:22" ht="21" outlineLevel="2">
      <c r="A194" s="233"/>
      <c r="B194" s="233">
        <v>3</v>
      </c>
      <c r="C194" s="254" t="s">
        <v>278</v>
      </c>
      <c r="D194" s="250" t="s">
        <v>450</v>
      </c>
      <c r="E194" s="279"/>
      <c r="F194" s="233" t="s">
        <v>238</v>
      </c>
      <c r="G194" s="223">
        <v>13.764036000000001</v>
      </c>
      <c r="H194" s="223">
        <f t="shared" si="133"/>
        <v>73702.751546424013</v>
      </c>
      <c r="I194" s="223">
        <f t="shared" si="134"/>
        <v>73702.751546424013</v>
      </c>
      <c r="J194" s="197"/>
      <c r="K194" s="224">
        <f t="shared" ref="K194:K201" si="139">L194+M194</f>
        <v>5354.7340000000004</v>
      </c>
      <c r="L194" s="224">
        <f t="shared" ref="L194:L201" si="140">M194*0.09</f>
        <v>442.13400000000001</v>
      </c>
      <c r="M194" s="224">
        <f t="shared" ref="M194:M201" si="141">N194+O194+P194+Q194+S194</f>
        <v>4912.6000000000004</v>
      </c>
      <c r="N194" s="225">
        <v>800</v>
      </c>
      <c r="O194" s="225">
        <f>一级钢综合*1.02</f>
        <v>3621</v>
      </c>
      <c r="P194" s="225">
        <v>45</v>
      </c>
      <c r="Q194" s="225">
        <v>0</v>
      </c>
      <c r="R194" s="226">
        <v>0.1</v>
      </c>
      <c r="S194" s="227">
        <f t="shared" ref="S194" si="142">SUM(N194:Q194)*R194</f>
        <v>446.6</v>
      </c>
      <c r="T194" s="228" t="s">
        <v>253</v>
      </c>
      <c r="U194" s="220"/>
    </row>
    <row r="195" spans="1:22" ht="52.5" outlineLevel="2">
      <c r="A195" s="233"/>
      <c r="B195" s="233"/>
      <c r="C195" s="254" t="s">
        <v>308</v>
      </c>
      <c r="D195" s="250" t="s">
        <v>501</v>
      </c>
      <c r="E195" s="279"/>
      <c r="F195" s="233" t="s">
        <v>265</v>
      </c>
      <c r="G195" s="223"/>
      <c r="H195" s="223">
        <f t="shared" si="133"/>
        <v>0</v>
      </c>
      <c r="I195" s="223">
        <f t="shared" si="134"/>
        <v>0</v>
      </c>
      <c r="J195" s="197"/>
      <c r="K195" s="224">
        <f t="shared" si="139"/>
        <v>22.601150000000004</v>
      </c>
      <c r="L195" s="224">
        <f t="shared" si="140"/>
        <v>1.8661500000000002</v>
      </c>
      <c r="M195" s="224">
        <f t="shared" si="141"/>
        <v>20.735000000000003</v>
      </c>
      <c r="N195" s="225">
        <v>10</v>
      </c>
      <c r="O195" s="225">
        <f>调差材料基价表!E65*0.15</f>
        <v>8.85</v>
      </c>
      <c r="P195" s="225"/>
      <c r="Q195" s="225">
        <v>0</v>
      </c>
      <c r="R195" s="226">
        <v>0.1</v>
      </c>
      <c r="S195" s="227">
        <f t="shared" ref="S195:S201" si="143">SUM(N195:Q195)*R195</f>
        <v>1.8850000000000002</v>
      </c>
      <c r="T195" s="228"/>
      <c r="U195" s="220"/>
    </row>
    <row r="196" spans="1:22" ht="31.5" outlineLevel="2">
      <c r="A196" s="233"/>
      <c r="B196" s="233">
        <v>3</v>
      </c>
      <c r="C196" s="285" t="s">
        <v>457</v>
      </c>
      <c r="D196" s="250" t="s">
        <v>502</v>
      </c>
      <c r="E196" s="250"/>
      <c r="F196" s="233" t="s">
        <v>265</v>
      </c>
      <c r="G196" s="223">
        <v>6600</v>
      </c>
      <c r="H196" s="223">
        <f t="shared" si="133"/>
        <v>39703.437931034525</v>
      </c>
      <c r="I196" s="223">
        <f t="shared" si="134"/>
        <v>39703.437931034525</v>
      </c>
      <c r="J196" s="197"/>
      <c r="K196" s="224">
        <f t="shared" si="139"/>
        <v>6.0156724137931104</v>
      </c>
      <c r="L196" s="224">
        <f t="shared" si="140"/>
        <v>0.49670689655172467</v>
      </c>
      <c r="M196" s="224">
        <f t="shared" si="141"/>
        <v>5.5189655172413854</v>
      </c>
      <c r="N196" s="225">
        <v>2</v>
      </c>
      <c r="O196" s="225">
        <v>3.0172413793103501</v>
      </c>
      <c r="P196" s="225"/>
      <c r="Q196" s="225">
        <v>0</v>
      </c>
      <c r="R196" s="226">
        <v>0.1</v>
      </c>
      <c r="S196" s="227">
        <f t="shared" si="143"/>
        <v>0.5017241379310351</v>
      </c>
      <c r="T196" s="228"/>
      <c r="U196" s="220"/>
    </row>
    <row r="197" spans="1:22" ht="52.5" outlineLevel="1">
      <c r="A197" s="221">
        <v>10</v>
      </c>
      <c r="B197" s="221">
        <v>2</v>
      </c>
      <c r="C197" s="220" t="s">
        <v>503</v>
      </c>
      <c r="D197" s="222" t="s">
        <v>263</v>
      </c>
      <c r="E197" s="222" t="s">
        <v>504</v>
      </c>
      <c r="F197" s="221" t="s">
        <v>265</v>
      </c>
      <c r="G197" s="223">
        <v>0</v>
      </c>
      <c r="H197" s="223">
        <f t="shared" ref="H197:H223" si="144">G197*K197</f>
        <v>0</v>
      </c>
      <c r="I197" s="223">
        <f t="shared" ref="I197:I223" si="145">G197*K197*(1+J197)</f>
        <v>0</v>
      </c>
      <c r="J197" s="197"/>
      <c r="K197" s="224">
        <f t="shared" si="139"/>
        <v>0</v>
      </c>
      <c r="L197" s="224">
        <f t="shared" si="140"/>
        <v>0</v>
      </c>
      <c r="M197" s="224">
        <f t="shared" si="141"/>
        <v>0</v>
      </c>
      <c r="N197" s="225"/>
      <c r="O197" s="225"/>
      <c r="P197" s="225"/>
      <c r="Q197" s="225"/>
      <c r="R197" s="226">
        <v>0.1</v>
      </c>
      <c r="S197" s="227">
        <f t="shared" si="143"/>
        <v>0</v>
      </c>
      <c r="T197" s="238"/>
      <c r="U197" s="220"/>
    </row>
    <row r="198" spans="1:22" ht="94.5" outlineLevel="2">
      <c r="A198" s="221"/>
      <c r="B198" s="222">
        <v>4</v>
      </c>
      <c r="C198" s="222">
        <v>1.2</v>
      </c>
      <c r="D198" s="222" t="s">
        <v>505</v>
      </c>
      <c r="E198" s="222"/>
      <c r="F198" s="222" t="s">
        <v>265</v>
      </c>
      <c r="G198" s="223">
        <v>0</v>
      </c>
      <c r="H198" s="223">
        <f t="shared" si="144"/>
        <v>0</v>
      </c>
      <c r="I198" s="223">
        <f t="shared" si="145"/>
        <v>0</v>
      </c>
      <c r="J198" s="328"/>
      <c r="K198" s="224">
        <f t="shared" si="139"/>
        <v>21.342664151525241</v>
      </c>
      <c r="L198" s="224">
        <f t="shared" si="140"/>
        <v>1.7622383244378639</v>
      </c>
      <c r="M198" s="224">
        <f t="shared" si="141"/>
        <v>19.580425827087378</v>
      </c>
      <c r="N198" s="225">
        <v>12</v>
      </c>
      <c r="O198" s="225">
        <f>6.2061*调差材料基价表!E63/1000+0.0203*调差材料基价表!E64</f>
        <v>5.8003871155339795</v>
      </c>
      <c r="P198" s="225"/>
      <c r="Q198" s="225">
        <v>0</v>
      </c>
      <c r="R198" s="226">
        <v>0.1</v>
      </c>
      <c r="S198" s="227">
        <f t="shared" si="143"/>
        <v>1.780038711553398</v>
      </c>
      <c r="T198" s="286" t="s">
        <v>506</v>
      </c>
      <c r="U198" s="220"/>
      <c r="V198" s="17" t="s">
        <v>440</v>
      </c>
    </row>
    <row r="199" spans="1:22" ht="105" outlineLevel="2">
      <c r="A199" s="221"/>
      <c r="B199" s="222">
        <v>3</v>
      </c>
      <c r="C199" s="222" t="s">
        <v>269</v>
      </c>
      <c r="D199" s="222" t="s">
        <v>507</v>
      </c>
      <c r="E199" s="222"/>
      <c r="F199" s="222" t="s">
        <v>265</v>
      </c>
      <c r="G199" s="223">
        <v>0</v>
      </c>
      <c r="H199" s="223">
        <f t="shared" si="144"/>
        <v>0</v>
      </c>
      <c r="I199" s="223">
        <f t="shared" si="145"/>
        <v>0</v>
      </c>
      <c r="J199" s="328"/>
      <c r="K199" s="224">
        <f t="shared" si="139"/>
        <v>19.184000000000001</v>
      </c>
      <c r="L199" s="224">
        <f t="shared" si="140"/>
        <v>1.5840000000000001</v>
      </c>
      <c r="M199" s="224">
        <f t="shared" si="141"/>
        <v>17.600000000000001</v>
      </c>
      <c r="N199" s="225">
        <v>10</v>
      </c>
      <c r="O199" s="225">
        <v>5</v>
      </c>
      <c r="P199" s="225">
        <v>1</v>
      </c>
      <c r="Q199" s="249"/>
      <c r="R199" s="226">
        <v>0.1</v>
      </c>
      <c r="S199" s="227">
        <f t="shared" si="143"/>
        <v>1.6</v>
      </c>
      <c r="T199" s="228"/>
      <c r="U199" s="220"/>
      <c r="V199" s="17" t="s">
        <v>437</v>
      </c>
    </row>
    <row r="200" spans="1:22" ht="73.5" outlineLevel="2">
      <c r="A200" s="221"/>
      <c r="B200" s="222">
        <v>3</v>
      </c>
      <c r="C200" s="222" t="s">
        <v>275</v>
      </c>
      <c r="D200" s="222" t="s">
        <v>508</v>
      </c>
      <c r="E200" s="222"/>
      <c r="F200" s="222" t="s">
        <v>265</v>
      </c>
      <c r="G200" s="223">
        <v>0</v>
      </c>
      <c r="H200" s="223">
        <f t="shared" si="144"/>
        <v>0</v>
      </c>
      <c r="I200" s="223">
        <f t="shared" si="145"/>
        <v>0</v>
      </c>
      <c r="J200" s="328"/>
      <c r="K200" s="224">
        <f t="shared" si="139"/>
        <v>0</v>
      </c>
      <c r="L200" s="224">
        <f t="shared" si="140"/>
        <v>0</v>
      </c>
      <c r="M200" s="224">
        <f t="shared" si="141"/>
        <v>0</v>
      </c>
      <c r="N200" s="225"/>
      <c r="O200" s="225"/>
      <c r="P200" s="225"/>
      <c r="Q200" s="225"/>
      <c r="R200" s="226">
        <v>0.1</v>
      </c>
      <c r="S200" s="227">
        <f t="shared" si="143"/>
        <v>0</v>
      </c>
      <c r="T200" s="228"/>
      <c r="U200" s="220"/>
    </row>
    <row r="201" spans="1:22" ht="52.5" outlineLevel="2">
      <c r="A201" s="221"/>
      <c r="B201" s="222">
        <v>4</v>
      </c>
      <c r="C201" s="222">
        <v>3.1</v>
      </c>
      <c r="D201" s="222" t="s">
        <v>509</v>
      </c>
      <c r="E201" s="222"/>
      <c r="F201" s="222" t="s">
        <v>265</v>
      </c>
      <c r="G201" s="223">
        <v>0</v>
      </c>
      <c r="H201" s="223">
        <f t="shared" si="144"/>
        <v>0</v>
      </c>
      <c r="I201" s="223">
        <f t="shared" si="145"/>
        <v>0</v>
      </c>
      <c r="J201" s="328"/>
      <c r="K201" s="224">
        <f t="shared" si="139"/>
        <v>24.130967604348637</v>
      </c>
      <c r="L201" s="224">
        <f t="shared" si="140"/>
        <v>1.9924652150379609</v>
      </c>
      <c r="M201" s="224">
        <f t="shared" si="141"/>
        <v>22.138502389310677</v>
      </c>
      <c r="N201" s="225">
        <v>12</v>
      </c>
      <c r="O201" s="225">
        <f>9.67581*调差材料基价表!E63/1000+0.0264*调差材料基价表!E64</f>
        <v>8.1259112630097068</v>
      </c>
      <c r="P201" s="225"/>
      <c r="Q201" s="225">
        <v>0</v>
      </c>
      <c r="R201" s="226">
        <v>0.1</v>
      </c>
      <c r="S201" s="227">
        <f t="shared" si="143"/>
        <v>2.0125911263009706</v>
      </c>
      <c r="T201" s="252" t="s">
        <v>302</v>
      </c>
      <c r="U201" s="220"/>
      <c r="V201" s="17" t="s">
        <v>435</v>
      </c>
    </row>
    <row r="202" spans="1:22" ht="52.5" outlineLevel="1">
      <c r="A202" s="221">
        <v>11</v>
      </c>
      <c r="B202" s="221"/>
      <c r="C202" s="220" t="s">
        <v>510</v>
      </c>
      <c r="D202" s="222" t="s">
        <v>263</v>
      </c>
      <c r="E202" s="222" t="s">
        <v>504</v>
      </c>
      <c r="F202" s="221" t="s">
        <v>265</v>
      </c>
      <c r="G202" s="223">
        <v>0</v>
      </c>
      <c r="H202" s="223">
        <f t="shared" si="144"/>
        <v>0</v>
      </c>
      <c r="I202" s="223">
        <f t="shared" si="145"/>
        <v>0</v>
      </c>
      <c r="J202" s="197"/>
      <c r="K202" s="224">
        <f t="shared" ref="K202:K242" si="146">L202+M202</f>
        <v>0</v>
      </c>
      <c r="L202" s="224">
        <f t="shared" ref="L202:L242" si="147">M202*0.09</f>
        <v>0</v>
      </c>
      <c r="M202" s="224">
        <f t="shared" ref="M202:M242" si="148">N202+O202+P202+Q202+S202</f>
        <v>0</v>
      </c>
      <c r="N202" s="225"/>
      <c r="O202" s="225"/>
      <c r="P202" s="225"/>
      <c r="Q202" s="225"/>
      <c r="R202" s="226">
        <v>0.1</v>
      </c>
      <c r="S202" s="227">
        <f t="shared" ref="S202:S242" si="149">SUM(N202:Q202)*R202</f>
        <v>0</v>
      </c>
      <c r="T202" s="228"/>
      <c r="U202" s="220"/>
    </row>
    <row r="203" spans="1:22" ht="147" outlineLevel="2">
      <c r="A203" s="221"/>
      <c r="B203" s="221"/>
      <c r="C203" s="220" t="s">
        <v>266</v>
      </c>
      <c r="D203" s="222" t="s">
        <v>511</v>
      </c>
      <c r="E203" s="222"/>
      <c r="F203" s="221" t="s">
        <v>265</v>
      </c>
      <c r="G203" s="223">
        <v>0</v>
      </c>
      <c r="H203" s="223">
        <f t="shared" si="144"/>
        <v>0</v>
      </c>
      <c r="I203" s="223">
        <f t="shared" si="145"/>
        <v>0</v>
      </c>
      <c r="J203" s="197"/>
      <c r="K203" s="224">
        <f t="shared" si="146"/>
        <v>19.184000000000001</v>
      </c>
      <c r="L203" s="224">
        <f t="shared" si="147"/>
        <v>1.5840000000000001</v>
      </c>
      <c r="M203" s="224">
        <f t="shared" si="148"/>
        <v>17.600000000000001</v>
      </c>
      <c r="N203" s="224">
        <v>10</v>
      </c>
      <c r="O203" s="224">
        <v>5</v>
      </c>
      <c r="P203" s="224">
        <v>1</v>
      </c>
      <c r="Q203" s="249"/>
      <c r="R203" s="226">
        <v>0.1</v>
      </c>
      <c r="S203" s="227">
        <f t="shared" si="149"/>
        <v>1.6</v>
      </c>
      <c r="T203" s="228"/>
      <c r="U203" s="220"/>
    </row>
    <row r="204" spans="1:22" ht="31.5" outlineLevel="2">
      <c r="A204" s="221"/>
      <c r="B204" s="221"/>
      <c r="C204" s="220" t="s">
        <v>269</v>
      </c>
      <c r="D204" s="222" t="s">
        <v>512</v>
      </c>
      <c r="E204" s="222"/>
      <c r="F204" s="221" t="s">
        <v>265</v>
      </c>
      <c r="G204" s="223">
        <v>0</v>
      </c>
      <c r="H204" s="223">
        <f t="shared" si="144"/>
        <v>0</v>
      </c>
      <c r="I204" s="223">
        <f t="shared" si="145"/>
        <v>0</v>
      </c>
      <c r="J204" s="197"/>
      <c r="K204" s="224">
        <f t="shared" si="146"/>
        <v>0</v>
      </c>
      <c r="L204" s="224">
        <f t="shared" si="147"/>
        <v>0</v>
      </c>
      <c r="M204" s="224">
        <f t="shared" si="148"/>
        <v>0</v>
      </c>
      <c r="N204" s="225"/>
      <c r="O204" s="225"/>
      <c r="P204" s="225"/>
      <c r="Q204" s="225"/>
      <c r="R204" s="226">
        <v>0.1</v>
      </c>
      <c r="S204" s="227">
        <f t="shared" si="149"/>
        <v>0</v>
      </c>
      <c r="T204" s="228"/>
      <c r="U204" s="220"/>
    </row>
    <row r="205" spans="1:22" ht="42" outlineLevel="2">
      <c r="A205" s="221"/>
      <c r="B205" s="221"/>
      <c r="C205" s="220">
        <v>2.1</v>
      </c>
      <c r="D205" s="222" t="s">
        <v>513</v>
      </c>
      <c r="E205" s="222"/>
      <c r="F205" s="221" t="s">
        <v>265</v>
      </c>
      <c r="G205" s="223">
        <v>0</v>
      </c>
      <c r="H205" s="223">
        <f t="shared" si="144"/>
        <v>0</v>
      </c>
      <c r="I205" s="223">
        <f t="shared" si="145"/>
        <v>0</v>
      </c>
      <c r="J205" s="197"/>
      <c r="K205" s="224">
        <f t="shared" si="146"/>
        <v>22.012493894525239</v>
      </c>
      <c r="L205" s="224">
        <f t="shared" si="147"/>
        <v>1.8175453674378639</v>
      </c>
      <c r="M205" s="224">
        <f t="shared" si="148"/>
        <v>20.194948527087377</v>
      </c>
      <c r="N205" s="225">
        <v>12</v>
      </c>
      <c r="O205" s="225">
        <f>7.7451*调差材料基价表!E63/1000+0.0203*调差材料基价表!E64</f>
        <v>6.3590441155339796</v>
      </c>
      <c r="P205" s="225"/>
      <c r="Q205" s="225">
        <v>0</v>
      </c>
      <c r="R205" s="226">
        <v>0.1</v>
      </c>
      <c r="S205" s="227">
        <f t="shared" si="149"/>
        <v>1.835904411553398</v>
      </c>
      <c r="T205" s="252" t="s">
        <v>514</v>
      </c>
      <c r="U205" s="220"/>
    </row>
    <row r="206" spans="1:22" ht="31.5" outlineLevel="2">
      <c r="A206" s="221"/>
      <c r="B206" s="221"/>
      <c r="C206" s="220">
        <v>2.2000000000000002</v>
      </c>
      <c r="D206" s="222" t="s">
        <v>515</v>
      </c>
      <c r="E206" s="222"/>
      <c r="F206" s="221" t="s">
        <v>265</v>
      </c>
      <c r="G206" s="223">
        <v>0</v>
      </c>
      <c r="H206" s="223">
        <f t="shared" si="144"/>
        <v>0</v>
      </c>
      <c r="I206" s="223">
        <f t="shared" si="145"/>
        <v>0</v>
      </c>
      <c r="J206" s="197"/>
      <c r="K206" s="224">
        <f t="shared" si="146"/>
        <v>0</v>
      </c>
      <c r="L206" s="224">
        <f t="shared" si="147"/>
        <v>0</v>
      </c>
      <c r="M206" s="224">
        <f t="shared" si="148"/>
        <v>0</v>
      </c>
      <c r="N206" s="249"/>
      <c r="O206" s="249"/>
      <c r="P206" s="249"/>
      <c r="Q206" s="249"/>
      <c r="R206" s="226">
        <v>0.1</v>
      </c>
      <c r="S206" s="227">
        <f t="shared" si="149"/>
        <v>0</v>
      </c>
      <c r="T206" s="228"/>
      <c r="U206" s="220"/>
    </row>
    <row r="207" spans="1:22" ht="21" outlineLevel="2">
      <c r="A207" s="221"/>
      <c r="B207" s="221"/>
      <c r="C207" s="220" t="s">
        <v>275</v>
      </c>
      <c r="D207" s="222" t="s">
        <v>516</v>
      </c>
      <c r="E207" s="222"/>
      <c r="F207" s="221" t="s">
        <v>162</v>
      </c>
      <c r="G207" s="223">
        <v>0</v>
      </c>
      <c r="H207" s="223">
        <f t="shared" si="144"/>
        <v>0</v>
      </c>
      <c r="I207" s="223">
        <f t="shared" si="145"/>
        <v>0</v>
      </c>
      <c r="J207" s="197"/>
      <c r="K207" s="224">
        <f t="shared" si="146"/>
        <v>29.975000000000001</v>
      </c>
      <c r="L207" s="224">
        <f t="shared" si="147"/>
        <v>2.4750000000000001</v>
      </c>
      <c r="M207" s="224">
        <f t="shared" si="148"/>
        <v>27.5</v>
      </c>
      <c r="N207" s="225">
        <v>25</v>
      </c>
      <c r="O207" s="225">
        <v>0</v>
      </c>
      <c r="P207" s="225">
        <v>0</v>
      </c>
      <c r="Q207" s="225">
        <v>0</v>
      </c>
      <c r="R207" s="226">
        <v>0.1</v>
      </c>
      <c r="S207" s="227">
        <f t="shared" si="149"/>
        <v>2.5</v>
      </c>
      <c r="T207" s="228"/>
      <c r="U207" s="220"/>
    </row>
    <row r="208" spans="1:22" ht="42" outlineLevel="2">
      <c r="A208" s="221"/>
      <c r="B208" s="221"/>
      <c r="C208" s="220" t="s">
        <v>278</v>
      </c>
      <c r="D208" s="222" t="s">
        <v>517</v>
      </c>
      <c r="E208" s="222"/>
      <c r="F208" s="221" t="s">
        <v>265</v>
      </c>
      <c r="G208" s="223">
        <v>0</v>
      </c>
      <c r="H208" s="223">
        <f t="shared" si="144"/>
        <v>0</v>
      </c>
      <c r="I208" s="223">
        <f t="shared" si="145"/>
        <v>0</v>
      </c>
      <c r="J208" s="197"/>
      <c r="K208" s="224">
        <f t="shared" si="146"/>
        <v>0</v>
      </c>
      <c r="L208" s="224">
        <f t="shared" si="147"/>
        <v>0</v>
      </c>
      <c r="M208" s="224">
        <f t="shared" si="148"/>
        <v>0</v>
      </c>
      <c r="N208" s="225"/>
      <c r="O208" s="225"/>
      <c r="P208" s="225"/>
      <c r="Q208" s="225"/>
      <c r="R208" s="226">
        <v>0.1</v>
      </c>
      <c r="S208" s="227">
        <f t="shared" si="149"/>
        <v>0</v>
      </c>
      <c r="T208" s="228"/>
      <c r="U208" s="220"/>
    </row>
    <row r="209" spans="1:22" ht="42" outlineLevel="2">
      <c r="A209" s="221"/>
      <c r="B209" s="221"/>
      <c r="C209" s="220">
        <v>4.0999999999999996</v>
      </c>
      <c r="D209" s="222" t="s">
        <v>518</v>
      </c>
      <c r="E209" s="222"/>
      <c r="F209" s="221" t="s">
        <v>265</v>
      </c>
      <c r="G209" s="223">
        <v>0</v>
      </c>
      <c r="H209" s="223">
        <f t="shared" si="144"/>
        <v>0</v>
      </c>
      <c r="I209" s="223">
        <f t="shared" si="145"/>
        <v>0</v>
      </c>
      <c r="J209" s="197"/>
      <c r="K209" s="224">
        <f t="shared" si="146"/>
        <v>24.130963251978638</v>
      </c>
      <c r="L209" s="224">
        <f t="shared" si="147"/>
        <v>1.9924648556679609</v>
      </c>
      <c r="M209" s="224">
        <f t="shared" si="148"/>
        <v>22.138498396310677</v>
      </c>
      <c r="N209" s="225">
        <v>12</v>
      </c>
      <c r="O209" s="225">
        <f>9.6758*调差材料基价表!$E$63/1000+0.0264*调差材料基价表!$E$64</f>
        <v>8.1259076330097066</v>
      </c>
      <c r="P209" s="225"/>
      <c r="Q209" s="225">
        <v>0</v>
      </c>
      <c r="R209" s="226">
        <v>0.1</v>
      </c>
      <c r="S209" s="227">
        <f t="shared" si="149"/>
        <v>2.0125907633009708</v>
      </c>
      <c r="T209" s="252" t="s">
        <v>302</v>
      </c>
      <c r="U209" s="220"/>
    </row>
    <row r="210" spans="1:22" ht="21" outlineLevel="2">
      <c r="A210" s="221"/>
      <c r="B210" s="221"/>
      <c r="C210" s="220">
        <v>4.2</v>
      </c>
      <c r="D210" s="222" t="s">
        <v>519</v>
      </c>
      <c r="E210" s="222"/>
      <c r="F210" s="221" t="s">
        <v>265</v>
      </c>
      <c r="G210" s="223">
        <v>0</v>
      </c>
      <c r="H210" s="223">
        <f t="shared" si="144"/>
        <v>0</v>
      </c>
      <c r="I210" s="223">
        <f t="shared" si="145"/>
        <v>0</v>
      </c>
      <c r="J210" s="197"/>
      <c r="K210" s="224">
        <f t="shared" si="146"/>
        <v>0</v>
      </c>
      <c r="L210" s="224">
        <f t="shared" si="147"/>
        <v>0</v>
      </c>
      <c r="M210" s="224">
        <f t="shared" si="148"/>
        <v>0</v>
      </c>
      <c r="N210" s="249"/>
      <c r="O210" s="249"/>
      <c r="P210" s="249"/>
      <c r="Q210" s="249"/>
      <c r="R210" s="226">
        <v>0.1</v>
      </c>
      <c r="S210" s="227">
        <f t="shared" si="149"/>
        <v>0</v>
      </c>
      <c r="T210" s="228"/>
      <c r="U210" s="220"/>
    </row>
    <row r="211" spans="1:22" ht="73.5" outlineLevel="2">
      <c r="A211" s="221"/>
      <c r="B211" s="221"/>
      <c r="C211" s="220" t="s">
        <v>308</v>
      </c>
      <c r="D211" s="222" t="s">
        <v>520</v>
      </c>
      <c r="E211" s="222"/>
      <c r="F211" s="221" t="s">
        <v>265</v>
      </c>
      <c r="G211" s="223">
        <v>0</v>
      </c>
      <c r="H211" s="223">
        <f t="shared" si="144"/>
        <v>0</v>
      </c>
      <c r="I211" s="223">
        <f t="shared" si="145"/>
        <v>0</v>
      </c>
      <c r="J211" s="197"/>
      <c r="K211" s="224">
        <f t="shared" si="146"/>
        <v>19.184000000000001</v>
      </c>
      <c r="L211" s="224">
        <f t="shared" si="147"/>
        <v>1.5840000000000001</v>
      </c>
      <c r="M211" s="224">
        <f t="shared" si="148"/>
        <v>17.600000000000001</v>
      </c>
      <c r="N211" s="224">
        <v>10</v>
      </c>
      <c r="O211" s="225">
        <v>5</v>
      </c>
      <c r="P211" s="224">
        <v>1</v>
      </c>
      <c r="Q211" s="249"/>
      <c r="R211" s="226">
        <v>0.1</v>
      </c>
      <c r="S211" s="227">
        <f t="shared" si="149"/>
        <v>1.6</v>
      </c>
      <c r="T211" s="228"/>
      <c r="U211" s="220"/>
    </row>
    <row r="212" spans="1:22" ht="84" outlineLevel="2">
      <c r="A212" s="221"/>
      <c r="B212" s="221"/>
      <c r="C212" s="220" t="s">
        <v>457</v>
      </c>
      <c r="D212" s="222" t="s">
        <v>521</v>
      </c>
      <c r="E212" s="222"/>
      <c r="F212" s="221" t="s">
        <v>265</v>
      </c>
      <c r="G212" s="223">
        <v>0</v>
      </c>
      <c r="H212" s="223">
        <f t="shared" si="144"/>
        <v>0</v>
      </c>
      <c r="I212" s="223">
        <f t="shared" si="145"/>
        <v>0</v>
      </c>
      <c r="J212" s="197"/>
      <c r="K212" s="224">
        <f t="shared" si="146"/>
        <v>65.875201902912607</v>
      </c>
      <c r="L212" s="224">
        <f t="shared" si="147"/>
        <v>5.4392368543689305</v>
      </c>
      <c r="M212" s="224">
        <f t="shared" si="148"/>
        <v>60.435965048543679</v>
      </c>
      <c r="N212" s="225">
        <v>14</v>
      </c>
      <c r="O212" s="225">
        <f>0.0816*调差材料基价表!E13</f>
        <v>33.273786407766984</v>
      </c>
      <c r="P212" s="225">
        <f>(1/0.2+1)*2*0.18*调差材料基价表!E4/1000</f>
        <v>7.668000000000001</v>
      </c>
      <c r="Q212" s="225">
        <v>0</v>
      </c>
      <c r="R212" s="226">
        <v>0.1</v>
      </c>
      <c r="S212" s="227">
        <f t="shared" si="149"/>
        <v>5.494178640776699</v>
      </c>
      <c r="T212" s="228" t="s">
        <v>285</v>
      </c>
      <c r="U212" s="220"/>
    </row>
    <row r="213" spans="1:22" ht="21" outlineLevel="1">
      <c r="A213" s="221">
        <v>12</v>
      </c>
      <c r="B213" s="221">
        <v>2</v>
      </c>
      <c r="C213" s="220" t="s">
        <v>522</v>
      </c>
      <c r="D213" s="222" t="s">
        <v>263</v>
      </c>
      <c r="E213" s="222" t="s">
        <v>523</v>
      </c>
      <c r="F213" s="221" t="s">
        <v>524</v>
      </c>
      <c r="G213" s="223">
        <v>0</v>
      </c>
      <c r="H213" s="223">
        <f t="shared" si="144"/>
        <v>0</v>
      </c>
      <c r="I213" s="223">
        <f t="shared" si="145"/>
        <v>0</v>
      </c>
      <c r="J213" s="197"/>
      <c r="K213" s="224">
        <f t="shared" si="146"/>
        <v>47.96</v>
      </c>
      <c r="L213" s="224">
        <f t="shared" si="147"/>
        <v>3.96</v>
      </c>
      <c r="M213" s="224">
        <f t="shared" si="148"/>
        <v>44</v>
      </c>
      <c r="N213" s="225">
        <v>5</v>
      </c>
      <c r="O213" s="225">
        <v>35</v>
      </c>
      <c r="P213" s="225"/>
      <c r="Q213" s="225"/>
      <c r="R213" s="226">
        <v>0.1</v>
      </c>
      <c r="S213" s="227">
        <f t="shared" si="149"/>
        <v>4</v>
      </c>
      <c r="T213" s="228"/>
      <c r="U213" s="220"/>
    </row>
    <row r="214" spans="1:22" ht="31.5" outlineLevel="1">
      <c r="A214" s="221">
        <v>13</v>
      </c>
      <c r="B214" s="221">
        <v>2</v>
      </c>
      <c r="C214" s="220" t="s">
        <v>525</v>
      </c>
      <c r="D214" s="222" t="s">
        <v>263</v>
      </c>
      <c r="E214" s="222" t="s">
        <v>526</v>
      </c>
      <c r="F214" s="221" t="s">
        <v>212</v>
      </c>
      <c r="G214" s="223">
        <v>0</v>
      </c>
      <c r="H214" s="223">
        <f t="shared" si="144"/>
        <v>0</v>
      </c>
      <c r="I214" s="223">
        <f t="shared" si="145"/>
        <v>0</v>
      </c>
      <c r="J214" s="197"/>
      <c r="K214" s="224">
        <f t="shared" si="146"/>
        <v>94.721000000000004</v>
      </c>
      <c r="L214" s="224">
        <f t="shared" si="147"/>
        <v>7.8210000000000006</v>
      </c>
      <c r="M214" s="224">
        <f t="shared" si="148"/>
        <v>86.9</v>
      </c>
      <c r="N214" s="225">
        <v>35</v>
      </c>
      <c r="O214" s="225">
        <v>44</v>
      </c>
      <c r="P214" s="225"/>
      <c r="Q214" s="225">
        <v>0</v>
      </c>
      <c r="R214" s="226">
        <v>0.1</v>
      </c>
      <c r="S214" s="227">
        <f t="shared" si="149"/>
        <v>7.9</v>
      </c>
      <c r="T214" s="228"/>
      <c r="U214" s="220"/>
    </row>
    <row r="215" spans="1:22" ht="42" outlineLevel="1">
      <c r="A215" s="221">
        <v>14</v>
      </c>
      <c r="B215" s="221">
        <v>2</v>
      </c>
      <c r="C215" s="220" t="s">
        <v>527</v>
      </c>
      <c r="D215" s="222" t="s">
        <v>528</v>
      </c>
      <c r="E215" s="222" t="s">
        <v>529</v>
      </c>
      <c r="F215" s="221" t="s">
        <v>212</v>
      </c>
      <c r="G215" s="223">
        <v>0</v>
      </c>
      <c r="H215" s="223">
        <f t="shared" si="144"/>
        <v>0</v>
      </c>
      <c r="I215" s="223">
        <f t="shared" si="145"/>
        <v>0</v>
      </c>
      <c r="J215" s="197"/>
      <c r="K215" s="224">
        <f t="shared" si="146"/>
        <v>57.262586206896593</v>
      </c>
      <c r="L215" s="224">
        <f t="shared" si="147"/>
        <v>4.7281034482758653</v>
      </c>
      <c r="M215" s="224">
        <f t="shared" si="148"/>
        <v>52.534482758620726</v>
      </c>
      <c r="N215" s="225">
        <v>15</v>
      </c>
      <c r="O215" s="225">
        <v>32.758620689655203</v>
      </c>
      <c r="P215" s="225"/>
      <c r="Q215" s="225">
        <v>0</v>
      </c>
      <c r="R215" s="226">
        <v>0.1</v>
      </c>
      <c r="S215" s="227">
        <f t="shared" si="149"/>
        <v>4.7758620689655205</v>
      </c>
      <c r="T215" s="228"/>
      <c r="U215" s="220"/>
    </row>
    <row r="216" spans="1:22" ht="63" outlineLevel="1">
      <c r="A216" s="221">
        <v>15</v>
      </c>
      <c r="B216" s="221">
        <v>2</v>
      </c>
      <c r="C216" s="220" t="s">
        <v>530</v>
      </c>
      <c r="D216" s="222" t="s">
        <v>263</v>
      </c>
      <c r="E216" s="222" t="s">
        <v>531</v>
      </c>
      <c r="F216" s="221" t="s">
        <v>212</v>
      </c>
      <c r="G216" s="223">
        <v>0</v>
      </c>
      <c r="H216" s="223">
        <f t="shared" si="144"/>
        <v>0</v>
      </c>
      <c r="I216" s="223">
        <f t="shared" si="145"/>
        <v>0</v>
      </c>
      <c r="J216" s="197"/>
      <c r="K216" s="224">
        <f t="shared" si="146"/>
        <v>15.587</v>
      </c>
      <c r="L216" s="224">
        <f t="shared" si="147"/>
        <v>1.2869999999999999</v>
      </c>
      <c r="M216" s="224">
        <f t="shared" si="148"/>
        <v>14.3</v>
      </c>
      <c r="N216" s="225">
        <v>5</v>
      </c>
      <c r="O216" s="225">
        <v>8</v>
      </c>
      <c r="P216" s="225"/>
      <c r="Q216" s="225">
        <v>0</v>
      </c>
      <c r="R216" s="226">
        <v>0.1</v>
      </c>
      <c r="S216" s="227">
        <f t="shared" si="149"/>
        <v>1.3</v>
      </c>
      <c r="T216" s="228"/>
      <c r="U216" s="220"/>
    </row>
    <row r="217" spans="1:22" ht="52.5" outlineLevel="1">
      <c r="A217" s="221">
        <v>16</v>
      </c>
      <c r="B217" s="221">
        <v>2</v>
      </c>
      <c r="C217" s="220" t="s">
        <v>532</v>
      </c>
      <c r="D217" s="222" t="s">
        <v>263</v>
      </c>
      <c r="E217" s="222" t="s">
        <v>533</v>
      </c>
      <c r="F217" s="221" t="s">
        <v>265</v>
      </c>
      <c r="G217" s="223">
        <v>0</v>
      </c>
      <c r="H217" s="223">
        <f t="shared" si="144"/>
        <v>0</v>
      </c>
      <c r="I217" s="223">
        <f t="shared" si="145"/>
        <v>0</v>
      </c>
      <c r="J217" s="197"/>
      <c r="K217" s="224">
        <f t="shared" si="146"/>
        <v>0</v>
      </c>
      <c r="L217" s="224">
        <f t="shared" si="147"/>
        <v>0</v>
      </c>
      <c r="M217" s="224">
        <f t="shared" si="148"/>
        <v>0</v>
      </c>
      <c r="N217" s="225"/>
      <c r="O217" s="225"/>
      <c r="P217" s="225"/>
      <c r="Q217" s="225"/>
      <c r="R217" s="226">
        <v>0.1</v>
      </c>
      <c r="S217" s="227">
        <f t="shared" si="149"/>
        <v>0</v>
      </c>
      <c r="T217" s="228"/>
      <c r="U217" s="220"/>
    </row>
    <row r="218" spans="1:22" ht="42" outlineLevel="1">
      <c r="A218" s="221"/>
      <c r="B218" s="221">
        <v>3</v>
      </c>
      <c r="C218" s="220" t="s">
        <v>266</v>
      </c>
      <c r="D218" s="222" t="s">
        <v>534</v>
      </c>
      <c r="E218" s="222"/>
      <c r="F218" s="221" t="s">
        <v>265</v>
      </c>
      <c r="G218" s="223">
        <v>0</v>
      </c>
      <c r="H218" s="223">
        <f t="shared" si="144"/>
        <v>0</v>
      </c>
      <c r="I218" s="223">
        <f t="shared" si="145"/>
        <v>0</v>
      </c>
      <c r="J218" s="197"/>
      <c r="K218" s="224">
        <f t="shared" si="146"/>
        <v>21.342664151525241</v>
      </c>
      <c r="L218" s="224">
        <f t="shared" si="147"/>
        <v>1.7622383244378639</v>
      </c>
      <c r="M218" s="224">
        <f t="shared" si="148"/>
        <v>19.580425827087378</v>
      </c>
      <c r="N218" s="225">
        <v>12</v>
      </c>
      <c r="O218" s="225">
        <f>6.2061*调差材料基价表!E63/1000+0.0203*调差材料基价表!E64</f>
        <v>5.8003871155339795</v>
      </c>
      <c r="P218" s="225"/>
      <c r="Q218" s="225">
        <v>0</v>
      </c>
      <c r="R218" s="226">
        <v>0.1</v>
      </c>
      <c r="S218" s="227">
        <f t="shared" si="149"/>
        <v>1.780038711553398</v>
      </c>
      <c r="T218" s="252" t="s">
        <v>506</v>
      </c>
      <c r="U218" s="220"/>
    </row>
    <row r="219" spans="1:22" ht="42" outlineLevel="1">
      <c r="A219" s="221"/>
      <c r="B219" s="221">
        <v>3</v>
      </c>
      <c r="C219" s="220" t="s">
        <v>535</v>
      </c>
      <c r="D219" s="222" t="s">
        <v>536</v>
      </c>
      <c r="E219" s="222"/>
      <c r="F219" s="221" t="s">
        <v>265</v>
      </c>
      <c r="G219" s="223">
        <v>0</v>
      </c>
      <c r="H219" s="223">
        <f t="shared" si="144"/>
        <v>0</v>
      </c>
      <c r="I219" s="223">
        <f t="shared" si="145"/>
        <v>0</v>
      </c>
      <c r="J219" s="197"/>
      <c r="K219" s="224">
        <f t="shared" si="146"/>
        <v>22.825234951456309</v>
      </c>
      <c r="L219" s="224">
        <f t="shared" si="147"/>
        <v>1.8846524271844658</v>
      </c>
      <c r="M219" s="224">
        <f t="shared" si="148"/>
        <v>20.940582524271843</v>
      </c>
      <c r="N219" s="225">
        <v>12</v>
      </c>
      <c r="O219" s="225">
        <f>0.0151*调差材料基价表!E49</f>
        <v>7.0368932038834933</v>
      </c>
      <c r="P219" s="225"/>
      <c r="Q219" s="225">
        <v>0</v>
      </c>
      <c r="R219" s="226">
        <v>0.1</v>
      </c>
      <c r="S219" s="227">
        <f t="shared" si="149"/>
        <v>1.9036893203883496</v>
      </c>
      <c r="T219" s="228" t="s">
        <v>537</v>
      </c>
      <c r="U219" s="220"/>
      <c r="V219" s="17" t="s">
        <v>440</v>
      </c>
    </row>
    <row r="220" spans="1:22" ht="42" outlineLevel="1">
      <c r="A220" s="221"/>
      <c r="B220" s="221">
        <v>3</v>
      </c>
      <c r="C220" s="220" t="s">
        <v>275</v>
      </c>
      <c r="D220" s="222" t="s">
        <v>538</v>
      </c>
      <c r="E220" s="222"/>
      <c r="F220" s="221" t="s">
        <v>265</v>
      </c>
      <c r="G220" s="223">
        <v>0</v>
      </c>
      <c r="H220" s="223">
        <f t="shared" si="144"/>
        <v>0</v>
      </c>
      <c r="I220" s="223">
        <f t="shared" si="145"/>
        <v>0</v>
      </c>
      <c r="J220" s="197"/>
      <c r="K220" s="224">
        <f t="shared" si="146"/>
        <v>29.495399999999997</v>
      </c>
      <c r="L220" s="224">
        <f t="shared" si="147"/>
        <v>2.4353999999999996</v>
      </c>
      <c r="M220" s="224">
        <f t="shared" si="148"/>
        <v>27.059999999999995</v>
      </c>
      <c r="N220" s="225">
        <v>12</v>
      </c>
      <c r="O220" s="225">
        <f>0.0309*调差材料基价表!E13</f>
        <v>12.599999999999996</v>
      </c>
      <c r="P220" s="225"/>
      <c r="Q220" s="225">
        <v>0</v>
      </c>
      <c r="R220" s="226">
        <v>0.1</v>
      </c>
      <c r="S220" s="227">
        <f t="shared" si="149"/>
        <v>2.4599999999999995</v>
      </c>
      <c r="T220" s="228" t="s">
        <v>539</v>
      </c>
      <c r="U220" s="220"/>
      <c r="V220" s="17" t="s">
        <v>435</v>
      </c>
    </row>
    <row r="221" spans="1:22" ht="31.5" outlineLevel="1">
      <c r="A221" s="221">
        <v>17</v>
      </c>
      <c r="B221" s="221">
        <v>2</v>
      </c>
      <c r="C221" s="220" t="s">
        <v>540</v>
      </c>
      <c r="D221" s="222" t="s">
        <v>263</v>
      </c>
      <c r="E221" s="222" t="s">
        <v>541</v>
      </c>
      <c r="F221" s="221" t="s">
        <v>212</v>
      </c>
      <c r="G221" s="223">
        <v>0</v>
      </c>
      <c r="H221" s="223">
        <f t="shared" si="144"/>
        <v>0</v>
      </c>
      <c r="I221" s="223">
        <f t="shared" si="145"/>
        <v>0</v>
      </c>
      <c r="J221" s="197"/>
      <c r="K221" s="224">
        <f t="shared" si="146"/>
        <v>84.169799999999995</v>
      </c>
      <c r="L221" s="224">
        <f t="shared" si="147"/>
        <v>6.9497999999999998</v>
      </c>
      <c r="M221" s="224">
        <f t="shared" si="148"/>
        <v>77.22</v>
      </c>
      <c r="N221" s="225">
        <v>35</v>
      </c>
      <c r="O221" s="225">
        <v>35.200000000000003</v>
      </c>
      <c r="P221" s="225"/>
      <c r="Q221" s="225">
        <v>0</v>
      </c>
      <c r="R221" s="226">
        <v>0.1</v>
      </c>
      <c r="S221" s="227">
        <f t="shared" si="149"/>
        <v>7.0200000000000005</v>
      </c>
      <c r="T221" s="228"/>
      <c r="U221" s="220"/>
    </row>
    <row r="222" spans="1:22" ht="31.5" outlineLevel="1">
      <c r="A222" s="221">
        <v>18</v>
      </c>
      <c r="B222" s="221">
        <v>2</v>
      </c>
      <c r="C222" s="220" t="s">
        <v>542</v>
      </c>
      <c r="D222" s="287" t="s">
        <v>263</v>
      </c>
      <c r="E222" s="222" t="s">
        <v>541</v>
      </c>
      <c r="F222" s="221" t="s">
        <v>212</v>
      </c>
      <c r="G222" s="223">
        <v>0</v>
      </c>
      <c r="H222" s="223">
        <f t="shared" si="144"/>
        <v>0</v>
      </c>
      <c r="I222" s="223">
        <f t="shared" si="145"/>
        <v>0</v>
      </c>
      <c r="J222" s="197"/>
      <c r="K222" s="224">
        <f t="shared" si="146"/>
        <v>105.2722</v>
      </c>
      <c r="L222" s="224">
        <f t="shared" si="147"/>
        <v>8.6921999999999997</v>
      </c>
      <c r="M222" s="224">
        <f t="shared" si="148"/>
        <v>96.58</v>
      </c>
      <c r="N222" s="225">
        <v>35</v>
      </c>
      <c r="O222" s="225">
        <v>52.8</v>
      </c>
      <c r="P222" s="225"/>
      <c r="Q222" s="225">
        <v>0</v>
      </c>
      <c r="R222" s="226">
        <v>0.1</v>
      </c>
      <c r="S222" s="227">
        <f t="shared" si="149"/>
        <v>8.7799999999999994</v>
      </c>
      <c r="T222" s="228"/>
      <c r="U222" s="220"/>
    </row>
    <row r="223" spans="1:22" ht="21" outlineLevel="1">
      <c r="A223" s="221">
        <v>19</v>
      </c>
      <c r="B223" s="221">
        <v>2</v>
      </c>
      <c r="C223" s="220" t="s">
        <v>543</v>
      </c>
      <c r="D223" s="288" t="s">
        <v>263</v>
      </c>
      <c r="E223" s="222" t="s">
        <v>544</v>
      </c>
      <c r="F223" s="221" t="s">
        <v>212</v>
      </c>
      <c r="G223" s="223">
        <v>0</v>
      </c>
      <c r="H223" s="223">
        <f t="shared" si="144"/>
        <v>0</v>
      </c>
      <c r="I223" s="223">
        <f t="shared" si="145"/>
        <v>0</v>
      </c>
      <c r="J223" s="197"/>
      <c r="K223" s="224">
        <f t="shared" si="146"/>
        <v>24.352103448275855</v>
      </c>
      <c r="L223" s="224">
        <f t="shared" si="147"/>
        <v>2.0107241379310339</v>
      </c>
      <c r="M223" s="224">
        <f t="shared" si="148"/>
        <v>22.34137931034482</v>
      </c>
      <c r="N223" s="225">
        <v>8</v>
      </c>
      <c r="O223" s="225">
        <v>12.310344827586199</v>
      </c>
      <c r="P223" s="225"/>
      <c r="Q223" s="225">
        <v>0</v>
      </c>
      <c r="R223" s="226">
        <v>0.1</v>
      </c>
      <c r="S223" s="227">
        <f t="shared" si="149"/>
        <v>2.0310344827586202</v>
      </c>
      <c r="T223" s="228"/>
      <c r="U223" s="220"/>
    </row>
    <row r="224" spans="1:22">
      <c r="A224" s="221"/>
      <c r="B224" s="221"/>
      <c r="C224" s="211" t="s">
        <v>248</v>
      </c>
      <c r="D224" s="288"/>
      <c r="E224" s="222"/>
      <c r="F224" s="221"/>
      <c r="G224" s="223">
        <v>0</v>
      </c>
      <c r="H224" s="212">
        <f>SUM(H133:H223)</f>
        <v>3058343.0119336564</v>
      </c>
      <c r="I224" s="212">
        <f>SUM(I133:I223)</f>
        <v>3058343.0119336564</v>
      </c>
      <c r="J224" s="226"/>
      <c r="K224" s="224">
        <f t="shared" si="146"/>
        <v>0</v>
      </c>
      <c r="L224" s="224">
        <f t="shared" si="147"/>
        <v>0</v>
      </c>
      <c r="M224" s="224">
        <f t="shared" si="148"/>
        <v>0</v>
      </c>
      <c r="N224" s="225"/>
      <c r="O224" s="225"/>
      <c r="P224" s="225"/>
      <c r="Q224" s="225"/>
      <c r="R224" s="226">
        <v>0.1</v>
      </c>
      <c r="S224" s="227">
        <f t="shared" si="149"/>
        <v>0</v>
      </c>
      <c r="T224" s="228"/>
      <c r="U224" s="220"/>
    </row>
    <row r="225" spans="1:22" ht="21">
      <c r="A225" s="209" t="s">
        <v>545</v>
      </c>
      <c r="B225" s="209">
        <v>1</v>
      </c>
      <c r="C225" s="210" t="s">
        <v>53</v>
      </c>
      <c r="D225" s="211"/>
      <c r="E225" s="211"/>
      <c r="F225" s="221"/>
      <c r="G225" s="223">
        <v>0</v>
      </c>
      <c r="H225" s="223"/>
      <c r="I225" s="223"/>
      <c r="J225" s="226"/>
      <c r="K225" s="224">
        <f t="shared" si="146"/>
        <v>0</v>
      </c>
      <c r="L225" s="224">
        <f t="shared" si="147"/>
        <v>0</v>
      </c>
      <c r="M225" s="224">
        <f t="shared" si="148"/>
        <v>0</v>
      </c>
      <c r="N225" s="225"/>
      <c r="O225" s="225"/>
      <c r="P225" s="225"/>
      <c r="Q225" s="225"/>
      <c r="R225" s="226">
        <v>0.1</v>
      </c>
      <c r="S225" s="227">
        <f t="shared" si="149"/>
        <v>0</v>
      </c>
      <c r="T225" s="238"/>
      <c r="U225" s="220"/>
    </row>
    <row r="226" spans="1:22" ht="105" outlineLevel="1">
      <c r="A226" s="221">
        <v>1</v>
      </c>
      <c r="B226" s="221">
        <v>2</v>
      </c>
      <c r="C226" s="220" t="s">
        <v>546</v>
      </c>
      <c r="D226" s="222" t="s">
        <v>263</v>
      </c>
      <c r="E226" s="222" t="s">
        <v>547</v>
      </c>
      <c r="F226" s="221" t="s">
        <v>265</v>
      </c>
      <c r="G226" s="223">
        <v>0</v>
      </c>
      <c r="H226" s="223">
        <f t="shared" ref="H226" si="150">G226*K226</f>
        <v>0</v>
      </c>
      <c r="I226" s="223">
        <f t="shared" ref="I226" si="151">G226*K226*(1+J226)</f>
        <v>0</v>
      </c>
      <c r="J226" s="197"/>
      <c r="K226" s="224">
        <f t="shared" si="146"/>
        <v>0</v>
      </c>
      <c r="L226" s="224">
        <f t="shared" si="147"/>
        <v>0</v>
      </c>
      <c r="M226" s="224">
        <f t="shared" si="148"/>
        <v>0</v>
      </c>
      <c r="N226" s="225"/>
      <c r="O226" s="225"/>
      <c r="P226" s="225"/>
      <c r="Q226" s="225"/>
      <c r="R226" s="226">
        <v>0.1</v>
      </c>
      <c r="S226" s="227">
        <f t="shared" si="149"/>
        <v>0</v>
      </c>
      <c r="T226" s="238"/>
      <c r="U226" s="220"/>
    </row>
    <row r="227" spans="1:22" ht="52.5" outlineLevel="2">
      <c r="A227" s="221"/>
      <c r="B227" s="221"/>
      <c r="C227" s="220" t="s">
        <v>266</v>
      </c>
      <c r="D227" s="247" t="s">
        <v>272</v>
      </c>
      <c r="E227" s="222"/>
      <c r="F227" s="221"/>
      <c r="G227" s="223">
        <v>0</v>
      </c>
      <c r="H227" s="223">
        <f t="shared" ref="H227:H242" si="152">G227*K227</f>
        <v>0</v>
      </c>
      <c r="I227" s="223">
        <f t="shared" ref="I227:I242" si="153">G227*K227*(1+J227)</f>
        <v>0</v>
      </c>
      <c r="J227" s="197"/>
      <c r="K227" s="224">
        <f t="shared" si="146"/>
        <v>48.5595</v>
      </c>
      <c r="L227" s="224">
        <f t="shared" si="147"/>
        <v>4.0094999999999992</v>
      </c>
      <c r="M227" s="224">
        <f t="shared" si="148"/>
        <v>44.55</v>
      </c>
      <c r="N227" s="225">
        <v>6.5</v>
      </c>
      <c r="O227" s="225">
        <v>32</v>
      </c>
      <c r="P227" s="225">
        <v>0.5</v>
      </c>
      <c r="Q227" s="225">
        <v>1.5</v>
      </c>
      <c r="R227" s="226">
        <v>0.1</v>
      </c>
      <c r="S227" s="227">
        <f t="shared" si="149"/>
        <v>4.05</v>
      </c>
      <c r="T227" s="228"/>
      <c r="U227" s="248"/>
    </row>
    <row r="228" spans="1:22" ht="73.5" outlineLevel="2">
      <c r="A228" s="221"/>
      <c r="B228" s="221"/>
      <c r="C228" s="220" t="s">
        <v>269</v>
      </c>
      <c r="D228" s="248" t="s">
        <v>273</v>
      </c>
      <c r="E228" s="222"/>
      <c r="F228" s="221"/>
      <c r="G228" s="223">
        <v>0</v>
      </c>
      <c r="H228" s="223">
        <f t="shared" si="152"/>
        <v>0</v>
      </c>
      <c r="I228" s="223">
        <f t="shared" si="153"/>
        <v>0</v>
      </c>
      <c r="J228" s="197"/>
      <c r="K228" s="224">
        <f t="shared" si="146"/>
        <v>14.951529999999998</v>
      </c>
      <c r="L228" s="224">
        <f t="shared" si="147"/>
        <v>1.2345299999999999</v>
      </c>
      <c r="M228" s="224">
        <f t="shared" si="148"/>
        <v>13.716999999999999</v>
      </c>
      <c r="N228" s="225">
        <v>4</v>
      </c>
      <c r="O228" s="225">
        <v>6.47</v>
      </c>
      <c r="P228" s="225">
        <v>0.5</v>
      </c>
      <c r="Q228" s="225">
        <v>1.5</v>
      </c>
      <c r="R228" s="226">
        <v>0.1</v>
      </c>
      <c r="S228" s="227">
        <f t="shared" si="149"/>
        <v>1.2469999999999999</v>
      </c>
      <c r="T228" s="228"/>
      <c r="U228" s="248"/>
    </row>
    <row r="229" spans="1:22" ht="84" outlineLevel="2">
      <c r="A229" s="221"/>
      <c r="B229" s="221"/>
      <c r="C229" s="220"/>
      <c r="D229" s="248" t="s">
        <v>274</v>
      </c>
      <c r="E229" s="222"/>
      <c r="F229" s="221"/>
      <c r="G229" s="223">
        <v>0</v>
      </c>
      <c r="H229" s="223">
        <f t="shared" si="152"/>
        <v>0</v>
      </c>
      <c r="I229" s="223">
        <f t="shared" si="153"/>
        <v>0</v>
      </c>
      <c r="J229" s="197"/>
      <c r="K229" s="224">
        <f t="shared" si="146"/>
        <v>25.179000000000002</v>
      </c>
      <c r="L229" s="224">
        <f t="shared" si="147"/>
        <v>2.0790000000000002</v>
      </c>
      <c r="M229" s="224">
        <f t="shared" si="148"/>
        <v>23.1</v>
      </c>
      <c r="N229" s="225">
        <v>5.5</v>
      </c>
      <c r="O229" s="225">
        <v>13.5</v>
      </c>
      <c r="P229" s="225">
        <v>0.5</v>
      </c>
      <c r="Q229" s="225">
        <v>1.5</v>
      </c>
      <c r="R229" s="226">
        <v>0.1</v>
      </c>
      <c r="S229" s="227">
        <f t="shared" si="149"/>
        <v>2.1</v>
      </c>
      <c r="T229" s="228"/>
      <c r="U229" s="248"/>
    </row>
    <row r="230" spans="1:22" ht="157.5" outlineLevel="2">
      <c r="A230" s="221"/>
      <c r="B230" s="221">
        <v>3</v>
      </c>
      <c r="C230" s="220" t="s">
        <v>275</v>
      </c>
      <c r="D230" s="222" t="s">
        <v>548</v>
      </c>
      <c r="E230" s="222"/>
      <c r="F230" s="221" t="s">
        <v>265</v>
      </c>
      <c r="G230" s="223">
        <v>0</v>
      </c>
      <c r="H230" s="223">
        <f t="shared" si="152"/>
        <v>0</v>
      </c>
      <c r="I230" s="223">
        <f t="shared" si="153"/>
        <v>0</v>
      </c>
      <c r="J230" s="197"/>
      <c r="K230" s="224">
        <f t="shared" si="146"/>
        <v>79.231561349514536</v>
      </c>
      <c r="L230" s="224">
        <f t="shared" si="147"/>
        <v>6.5420555242718423</v>
      </c>
      <c r="M230" s="224">
        <f t="shared" si="148"/>
        <v>72.689505825242691</v>
      </c>
      <c r="N230" s="289">
        <v>14</v>
      </c>
      <c r="O230" s="289">
        <f>0.0816*调差材料基价表!E15</f>
        <v>35.254368932038815</v>
      </c>
      <c r="P230" s="289">
        <f>(1/0.2+1)*2*0.395*一级钢综合/1000</f>
        <v>16.827000000000002</v>
      </c>
      <c r="Q230" s="289">
        <v>0</v>
      </c>
      <c r="R230" s="226">
        <v>0.1</v>
      </c>
      <c r="S230" s="227">
        <f t="shared" si="149"/>
        <v>6.6081368932038815</v>
      </c>
      <c r="T230" s="290" t="s">
        <v>549</v>
      </c>
      <c r="U230" s="220"/>
      <c r="V230" s="17" t="s">
        <v>440</v>
      </c>
    </row>
    <row r="231" spans="1:22" ht="21" outlineLevel="2">
      <c r="A231" s="221"/>
      <c r="B231" s="221">
        <v>3</v>
      </c>
      <c r="C231" s="220" t="s">
        <v>278</v>
      </c>
      <c r="D231" s="222" t="s">
        <v>550</v>
      </c>
      <c r="E231" s="222"/>
      <c r="F231" s="221" t="s">
        <v>265</v>
      </c>
      <c r="G231" s="223">
        <v>0</v>
      </c>
      <c r="H231" s="223">
        <f t="shared" si="152"/>
        <v>0</v>
      </c>
      <c r="I231" s="223">
        <f t="shared" si="153"/>
        <v>0</v>
      </c>
      <c r="J231" s="197"/>
      <c r="K231" s="224">
        <f t="shared" si="146"/>
        <v>0</v>
      </c>
      <c r="L231" s="224">
        <f t="shared" si="147"/>
        <v>0</v>
      </c>
      <c r="M231" s="224">
        <f t="shared" si="148"/>
        <v>0</v>
      </c>
      <c r="N231" s="249"/>
      <c r="O231" s="249"/>
      <c r="P231" s="249"/>
      <c r="Q231" s="249"/>
      <c r="R231" s="226">
        <v>0.1</v>
      </c>
      <c r="S231" s="227">
        <f t="shared" si="149"/>
        <v>0</v>
      </c>
      <c r="T231" s="238"/>
      <c r="U231" s="220"/>
    </row>
    <row r="232" spans="1:22" ht="52.5" outlineLevel="1">
      <c r="A232" s="221">
        <v>2</v>
      </c>
      <c r="B232" s="221">
        <v>2</v>
      </c>
      <c r="C232" s="220" t="s">
        <v>551</v>
      </c>
      <c r="D232" s="222" t="s">
        <v>552</v>
      </c>
      <c r="E232" s="222" t="s">
        <v>553</v>
      </c>
      <c r="F232" s="221" t="s">
        <v>265</v>
      </c>
      <c r="G232" s="223">
        <v>0</v>
      </c>
      <c r="H232" s="223">
        <f t="shared" si="152"/>
        <v>0</v>
      </c>
      <c r="I232" s="223">
        <f t="shared" si="153"/>
        <v>0</v>
      </c>
      <c r="J232" s="197"/>
      <c r="K232" s="224">
        <f t="shared" si="146"/>
        <v>0</v>
      </c>
      <c r="L232" s="224">
        <f t="shared" si="147"/>
        <v>0</v>
      </c>
      <c r="M232" s="224">
        <f t="shared" si="148"/>
        <v>0</v>
      </c>
      <c r="N232" s="225"/>
      <c r="O232" s="225"/>
      <c r="P232" s="225"/>
      <c r="Q232" s="225"/>
      <c r="R232" s="226">
        <v>0.1</v>
      </c>
      <c r="S232" s="227">
        <f t="shared" si="149"/>
        <v>0</v>
      </c>
      <c r="T232" s="238"/>
      <c r="U232" s="220"/>
    </row>
    <row r="233" spans="1:22" ht="42" outlineLevel="2">
      <c r="A233" s="221"/>
      <c r="B233" s="221">
        <v>3</v>
      </c>
      <c r="C233" s="220">
        <v>2.1</v>
      </c>
      <c r="D233" s="222" t="s">
        <v>554</v>
      </c>
      <c r="E233" s="222"/>
      <c r="F233" s="221" t="s">
        <v>265</v>
      </c>
      <c r="G233" s="223">
        <v>0</v>
      </c>
      <c r="H233" s="223">
        <f t="shared" si="152"/>
        <v>0</v>
      </c>
      <c r="I233" s="223">
        <f t="shared" si="153"/>
        <v>0</v>
      </c>
      <c r="J233" s="197"/>
      <c r="K233" s="224">
        <f t="shared" si="146"/>
        <v>24.130963251978638</v>
      </c>
      <c r="L233" s="224">
        <f t="shared" si="147"/>
        <v>1.9924648556679609</v>
      </c>
      <c r="M233" s="224">
        <f t="shared" si="148"/>
        <v>22.138498396310677</v>
      </c>
      <c r="N233" s="225">
        <v>12</v>
      </c>
      <c r="O233" s="225">
        <f>9.6758*调差材料基价表!$E$63/1000+0.0264*调差材料基价表!$E$64</f>
        <v>8.1259076330097066</v>
      </c>
      <c r="P233" s="225"/>
      <c r="Q233" s="225">
        <v>0</v>
      </c>
      <c r="R233" s="226">
        <v>0.1</v>
      </c>
      <c r="S233" s="227">
        <f t="shared" ref="S233" si="154">SUM(N233:Q233)*R233</f>
        <v>2.0125907633009708</v>
      </c>
      <c r="T233" s="252" t="s">
        <v>302</v>
      </c>
      <c r="U233" s="220"/>
    </row>
    <row r="234" spans="1:22" ht="21" outlineLevel="2">
      <c r="A234" s="221"/>
      <c r="B234" s="221">
        <v>3</v>
      </c>
      <c r="C234" s="220">
        <v>2.2000000000000002</v>
      </c>
      <c r="D234" s="222" t="s">
        <v>555</v>
      </c>
      <c r="E234" s="222"/>
      <c r="F234" s="221" t="s">
        <v>265</v>
      </c>
      <c r="G234" s="223">
        <v>0</v>
      </c>
      <c r="H234" s="223">
        <f t="shared" si="152"/>
        <v>0</v>
      </c>
      <c r="I234" s="223">
        <f t="shared" si="153"/>
        <v>0</v>
      </c>
      <c r="J234" s="197"/>
      <c r="K234" s="224">
        <f t="shared" si="146"/>
        <v>0</v>
      </c>
      <c r="L234" s="224">
        <f t="shared" si="147"/>
        <v>0</v>
      </c>
      <c r="M234" s="224">
        <f t="shared" si="148"/>
        <v>0</v>
      </c>
      <c r="N234" s="249"/>
      <c r="O234" s="249"/>
      <c r="P234" s="249"/>
      <c r="Q234" s="249"/>
      <c r="R234" s="226">
        <v>0.1</v>
      </c>
      <c r="S234" s="227">
        <f t="shared" si="149"/>
        <v>0</v>
      </c>
      <c r="T234" s="228"/>
      <c r="U234" s="220"/>
    </row>
    <row r="235" spans="1:22" ht="42" outlineLevel="2">
      <c r="A235" s="221"/>
      <c r="B235" s="221"/>
      <c r="C235" s="220">
        <v>2.2999999999999998</v>
      </c>
      <c r="D235" s="222" t="s">
        <v>556</v>
      </c>
      <c r="E235" s="222"/>
      <c r="F235" s="221" t="s">
        <v>265</v>
      </c>
      <c r="G235" s="223">
        <v>0</v>
      </c>
      <c r="H235" s="223">
        <f t="shared" si="152"/>
        <v>0</v>
      </c>
      <c r="I235" s="223">
        <f t="shared" si="153"/>
        <v>0</v>
      </c>
      <c r="J235" s="197"/>
      <c r="K235" s="224">
        <f t="shared" si="146"/>
        <v>20.533963251978637</v>
      </c>
      <c r="L235" s="224">
        <f t="shared" si="147"/>
        <v>1.6954648556679608</v>
      </c>
      <c r="M235" s="224">
        <f t="shared" si="148"/>
        <v>18.838498396310676</v>
      </c>
      <c r="N235" s="282">
        <v>12</v>
      </c>
      <c r="O235" s="282">
        <f>9.6758*调差材料基价表!$E$63/1000+0.0264*调差材料基价表!$E$64-3</f>
        <v>5.1259076330097066</v>
      </c>
      <c r="P235" s="225"/>
      <c r="Q235" s="282">
        <v>0</v>
      </c>
      <c r="R235" s="226">
        <v>0.1</v>
      </c>
      <c r="S235" s="227">
        <f t="shared" si="149"/>
        <v>1.7125907633009707</v>
      </c>
      <c r="T235" s="228" t="s">
        <v>557</v>
      </c>
      <c r="U235" s="220"/>
      <c r="V235" s="17" t="s">
        <v>440</v>
      </c>
    </row>
    <row r="236" spans="1:22" ht="42" outlineLevel="1">
      <c r="A236" s="221">
        <v>3</v>
      </c>
      <c r="B236" s="221">
        <v>2</v>
      </c>
      <c r="C236" s="220" t="s">
        <v>558</v>
      </c>
      <c r="D236" s="222" t="s">
        <v>263</v>
      </c>
      <c r="E236" s="222" t="s">
        <v>553</v>
      </c>
      <c r="F236" s="221" t="s">
        <v>265</v>
      </c>
      <c r="G236" s="223">
        <v>0</v>
      </c>
      <c r="H236" s="223">
        <f t="shared" si="152"/>
        <v>0</v>
      </c>
      <c r="I236" s="223">
        <f t="shared" si="153"/>
        <v>0</v>
      </c>
      <c r="J236" s="197"/>
      <c r="K236" s="224">
        <f t="shared" si="146"/>
        <v>0</v>
      </c>
      <c r="L236" s="224">
        <f t="shared" si="147"/>
        <v>0</v>
      </c>
      <c r="M236" s="224">
        <f t="shared" si="148"/>
        <v>0</v>
      </c>
      <c r="N236" s="225"/>
      <c r="O236" s="225"/>
      <c r="P236" s="225"/>
      <c r="Q236" s="225"/>
      <c r="R236" s="226">
        <v>0.1</v>
      </c>
      <c r="S236" s="227">
        <f t="shared" si="149"/>
        <v>0</v>
      </c>
      <c r="T236" s="238"/>
      <c r="U236" s="220"/>
    </row>
    <row r="237" spans="1:22" outlineLevel="2">
      <c r="A237" s="221"/>
      <c r="B237" s="221">
        <v>3</v>
      </c>
      <c r="C237" s="220" t="s">
        <v>266</v>
      </c>
      <c r="D237" s="222" t="s">
        <v>559</v>
      </c>
      <c r="E237" s="222"/>
      <c r="F237" s="221" t="s">
        <v>162</v>
      </c>
      <c r="G237" s="223">
        <v>0</v>
      </c>
      <c r="H237" s="223">
        <f t="shared" si="152"/>
        <v>0</v>
      </c>
      <c r="I237" s="223">
        <f t="shared" si="153"/>
        <v>0</v>
      </c>
      <c r="J237" s="197"/>
      <c r="K237" s="224">
        <f t="shared" si="146"/>
        <v>233.80500000000001</v>
      </c>
      <c r="L237" s="224">
        <f t="shared" si="147"/>
        <v>19.305</v>
      </c>
      <c r="M237" s="224">
        <f t="shared" si="148"/>
        <v>214.5</v>
      </c>
      <c r="N237" s="225">
        <v>60</v>
      </c>
      <c r="O237" s="225">
        <v>135</v>
      </c>
      <c r="P237" s="225"/>
      <c r="Q237" s="225">
        <v>0</v>
      </c>
      <c r="R237" s="226">
        <v>0.1</v>
      </c>
      <c r="S237" s="227">
        <f t="shared" si="149"/>
        <v>19.5</v>
      </c>
      <c r="T237" s="228"/>
      <c r="U237" s="220"/>
    </row>
    <row r="238" spans="1:22" ht="31.5" outlineLevel="2">
      <c r="A238" s="221"/>
      <c r="B238" s="221">
        <v>3</v>
      </c>
      <c r="C238" s="220" t="s">
        <v>269</v>
      </c>
      <c r="D238" s="222" t="s">
        <v>560</v>
      </c>
      <c r="E238" s="222"/>
      <c r="F238" s="221" t="s">
        <v>265</v>
      </c>
      <c r="G238" s="223">
        <v>0</v>
      </c>
      <c r="H238" s="223">
        <f t="shared" si="152"/>
        <v>0</v>
      </c>
      <c r="I238" s="223">
        <f t="shared" si="153"/>
        <v>0</v>
      </c>
      <c r="J238" s="197"/>
      <c r="K238" s="224">
        <f t="shared" si="146"/>
        <v>54.283269902912608</v>
      </c>
      <c r="L238" s="224">
        <f t="shared" si="147"/>
        <v>4.4821048543689308</v>
      </c>
      <c r="M238" s="224">
        <f t="shared" si="148"/>
        <v>49.80116504854368</v>
      </c>
      <c r="N238" s="225">
        <v>12</v>
      </c>
      <c r="O238" s="225">
        <f>0.0816*调差材料基价表!E13</f>
        <v>33.273786407766984</v>
      </c>
      <c r="P238" s="225"/>
      <c r="Q238" s="225">
        <v>0</v>
      </c>
      <c r="R238" s="226">
        <v>0.1</v>
      </c>
      <c r="S238" s="227">
        <f t="shared" si="149"/>
        <v>4.5273786407766989</v>
      </c>
      <c r="T238" s="291" t="s">
        <v>561</v>
      </c>
      <c r="U238" s="220"/>
    </row>
    <row r="239" spans="1:22" ht="63" outlineLevel="1">
      <c r="A239" s="221">
        <v>4</v>
      </c>
      <c r="B239" s="221">
        <v>2</v>
      </c>
      <c r="C239" s="220" t="s">
        <v>562</v>
      </c>
      <c r="D239" s="222" t="s">
        <v>263</v>
      </c>
      <c r="E239" s="222" t="s">
        <v>563</v>
      </c>
      <c r="F239" s="221" t="s">
        <v>265</v>
      </c>
      <c r="G239" s="223">
        <v>0</v>
      </c>
      <c r="H239" s="223">
        <f t="shared" si="152"/>
        <v>0</v>
      </c>
      <c r="I239" s="223">
        <f t="shared" si="153"/>
        <v>0</v>
      </c>
      <c r="J239" s="197"/>
      <c r="K239" s="224">
        <f t="shared" si="146"/>
        <v>0</v>
      </c>
      <c r="L239" s="224">
        <f t="shared" si="147"/>
        <v>0</v>
      </c>
      <c r="M239" s="224">
        <f t="shared" si="148"/>
        <v>0</v>
      </c>
      <c r="N239" s="225"/>
      <c r="O239" s="225"/>
      <c r="P239" s="225"/>
      <c r="Q239" s="225"/>
      <c r="R239" s="226">
        <v>0.1</v>
      </c>
      <c r="S239" s="227">
        <f t="shared" si="149"/>
        <v>0</v>
      </c>
      <c r="T239" s="238"/>
      <c r="U239" s="220"/>
    </row>
    <row r="240" spans="1:22" ht="31.5" outlineLevel="2">
      <c r="A240" s="221"/>
      <c r="B240" s="221">
        <v>3</v>
      </c>
      <c r="C240" s="220" t="s">
        <v>266</v>
      </c>
      <c r="D240" s="222" t="s">
        <v>564</v>
      </c>
      <c r="E240" s="222"/>
      <c r="F240" s="221" t="s">
        <v>265</v>
      </c>
      <c r="G240" s="223">
        <v>0</v>
      </c>
      <c r="H240" s="223">
        <f t="shared" si="152"/>
        <v>0</v>
      </c>
      <c r="I240" s="223">
        <f t="shared" si="153"/>
        <v>0</v>
      </c>
      <c r="J240" s="197"/>
      <c r="K240" s="224">
        <f t="shared" si="146"/>
        <v>14.69974</v>
      </c>
      <c r="L240" s="224">
        <f t="shared" si="147"/>
        <v>1.21374</v>
      </c>
      <c r="M240" s="224">
        <f t="shared" si="148"/>
        <v>13.486000000000001</v>
      </c>
      <c r="N240" s="225">
        <v>3.5</v>
      </c>
      <c r="O240" s="225">
        <v>0</v>
      </c>
      <c r="P240" s="225">
        <v>8.76</v>
      </c>
      <c r="Q240" s="225">
        <v>0</v>
      </c>
      <c r="R240" s="226">
        <v>0.1</v>
      </c>
      <c r="S240" s="227">
        <f t="shared" si="149"/>
        <v>1.226</v>
      </c>
      <c r="T240" s="228"/>
      <c r="U240" s="220"/>
      <c r="V240" s="17" t="s">
        <v>440</v>
      </c>
    </row>
    <row r="241" spans="1:21" ht="31.5" outlineLevel="2">
      <c r="A241" s="221"/>
      <c r="B241" s="221">
        <v>3</v>
      </c>
      <c r="C241" s="220" t="s">
        <v>269</v>
      </c>
      <c r="D241" s="222" t="s">
        <v>565</v>
      </c>
      <c r="E241" s="222"/>
      <c r="F241" s="221" t="s">
        <v>265</v>
      </c>
      <c r="G241" s="223">
        <v>0</v>
      </c>
      <c r="H241" s="223">
        <f t="shared" si="152"/>
        <v>0</v>
      </c>
      <c r="I241" s="223">
        <f t="shared" si="153"/>
        <v>0</v>
      </c>
      <c r="J241" s="197"/>
      <c r="K241" s="224">
        <f t="shared" si="146"/>
        <v>41.965000000000003</v>
      </c>
      <c r="L241" s="224">
        <f t="shared" si="147"/>
        <v>3.4649999999999999</v>
      </c>
      <c r="M241" s="224">
        <f t="shared" si="148"/>
        <v>38.5</v>
      </c>
      <c r="N241" s="225">
        <v>35</v>
      </c>
      <c r="O241" s="225">
        <v>0</v>
      </c>
      <c r="P241" s="225">
        <v>0</v>
      </c>
      <c r="Q241" s="225">
        <v>0</v>
      </c>
      <c r="R241" s="226">
        <v>0.1</v>
      </c>
      <c r="S241" s="227">
        <f t="shared" si="149"/>
        <v>3.5</v>
      </c>
      <c r="T241" s="228"/>
      <c r="U241" s="222" t="s">
        <v>566</v>
      </c>
    </row>
    <row r="242" spans="1:21" ht="73.5" outlineLevel="1">
      <c r="A242" s="221">
        <v>5</v>
      </c>
      <c r="B242" s="292">
        <v>2</v>
      </c>
      <c r="C242" s="247" t="s">
        <v>567</v>
      </c>
      <c r="D242" s="293" t="s">
        <v>568</v>
      </c>
      <c r="E242" s="293" t="s">
        <v>569</v>
      </c>
      <c r="F242" s="292" t="s">
        <v>265</v>
      </c>
      <c r="G242" s="223">
        <v>0</v>
      </c>
      <c r="H242" s="223">
        <f t="shared" si="152"/>
        <v>0</v>
      </c>
      <c r="I242" s="223">
        <f t="shared" si="153"/>
        <v>0</v>
      </c>
      <c r="J242" s="329"/>
      <c r="K242" s="224">
        <f t="shared" si="146"/>
        <v>0</v>
      </c>
      <c r="L242" s="224">
        <f t="shared" si="147"/>
        <v>0</v>
      </c>
      <c r="M242" s="224">
        <f t="shared" si="148"/>
        <v>0</v>
      </c>
      <c r="N242" s="249"/>
      <c r="O242" s="249"/>
      <c r="P242" s="249"/>
      <c r="Q242" s="249"/>
      <c r="R242" s="226">
        <v>0.1</v>
      </c>
      <c r="S242" s="227">
        <f t="shared" si="149"/>
        <v>0</v>
      </c>
      <c r="T242" s="228"/>
      <c r="U242" s="220"/>
    </row>
    <row r="243" spans="1:21" ht="84" outlineLevel="1">
      <c r="A243" s="233">
        <v>6</v>
      </c>
      <c r="B243" s="294">
        <v>2</v>
      </c>
      <c r="C243" s="295" t="s">
        <v>570</v>
      </c>
      <c r="D243" s="250" t="s">
        <v>263</v>
      </c>
      <c r="E243" s="250" t="s">
        <v>571</v>
      </c>
      <c r="F243" s="233" t="s">
        <v>265</v>
      </c>
      <c r="G243" s="223">
        <v>5558.0683641387204</v>
      </c>
      <c r="H243" s="223"/>
      <c r="I243" s="223"/>
      <c r="J243" s="329"/>
      <c r="K243" s="224"/>
      <c r="L243" s="224"/>
      <c r="M243" s="224"/>
      <c r="N243" s="225"/>
      <c r="O243" s="225"/>
      <c r="P243" s="225"/>
      <c r="Q243" s="225"/>
      <c r="R243" s="226"/>
      <c r="S243" s="227"/>
      <c r="T243" s="228"/>
      <c r="U243" s="220"/>
    </row>
    <row r="244" spans="1:21" ht="157.5" outlineLevel="2">
      <c r="A244" s="233"/>
      <c r="B244" s="233">
        <v>3</v>
      </c>
      <c r="C244" s="254" t="s">
        <v>266</v>
      </c>
      <c r="D244" s="296" t="s">
        <v>572</v>
      </c>
      <c r="E244" s="296"/>
      <c r="F244" s="294" t="s">
        <v>265</v>
      </c>
      <c r="G244" s="223">
        <v>4800</v>
      </c>
      <c r="H244" s="223">
        <f t="shared" ref="H244" si="155">G244*K244</f>
        <v>329587.50845825236</v>
      </c>
      <c r="I244" s="223">
        <f t="shared" ref="I244" si="156">G244*K244*(1+J244)</f>
        <v>329587.50845825236</v>
      </c>
      <c r="J244" s="197"/>
      <c r="K244" s="224">
        <f t="shared" ref="K244" si="157">L244+M244</f>
        <v>68.664064262135909</v>
      </c>
      <c r="L244" s="224">
        <f t="shared" ref="L244" si="158">M244*0.09</f>
        <v>5.6695098932038821</v>
      </c>
      <c r="M244" s="224">
        <f t="shared" ref="M244" si="159">N244+O244+P244+Q244+S244</f>
        <v>62.994554368932029</v>
      </c>
      <c r="N244" s="289">
        <v>14</v>
      </c>
      <c r="O244" s="289">
        <f>0.0612*调差材料基价表!E15</f>
        <v>26.440776699029108</v>
      </c>
      <c r="P244" s="289">
        <f>(1/0.2+1)*2*0.395*一级钢综合/1000</f>
        <v>16.827000000000002</v>
      </c>
      <c r="Q244" s="289">
        <v>0</v>
      </c>
      <c r="R244" s="226">
        <v>0.1</v>
      </c>
      <c r="S244" s="227">
        <f t="shared" ref="S244" si="160">SUM(N244:Q244)*R244</f>
        <v>5.726777669902912</v>
      </c>
      <c r="T244" s="290" t="s">
        <v>293</v>
      </c>
      <c r="U244" s="220"/>
    </row>
    <row r="245" spans="1:21" ht="63" outlineLevel="1">
      <c r="A245" s="233">
        <v>7</v>
      </c>
      <c r="B245" s="294">
        <v>2</v>
      </c>
      <c r="C245" s="295" t="s">
        <v>573</v>
      </c>
      <c r="D245" s="250" t="s">
        <v>263</v>
      </c>
      <c r="E245" s="250" t="s">
        <v>574</v>
      </c>
      <c r="F245" s="233" t="s">
        <v>265</v>
      </c>
      <c r="G245" s="223">
        <v>1826</v>
      </c>
      <c r="H245" s="223">
        <f t="shared" ref="H245:H248" si="161">G245*K245</f>
        <v>0</v>
      </c>
      <c r="I245" s="223">
        <f t="shared" ref="I245:I248" si="162">G245*K245*(1+J245)</f>
        <v>0</v>
      </c>
      <c r="J245" s="329"/>
      <c r="K245" s="224"/>
      <c r="L245" s="224"/>
      <c r="M245" s="224"/>
      <c r="N245" s="225"/>
      <c r="O245" s="225"/>
      <c r="P245" s="225"/>
      <c r="Q245" s="225"/>
      <c r="R245" s="226"/>
      <c r="S245" s="227"/>
      <c r="T245" s="228"/>
      <c r="U245" s="220"/>
    </row>
    <row r="246" spans="1:21" ht="21" outlineLevel="2">
      <c r="A246" s="233"/>
      <c r="B246" s="233">
        <v>3</v>
      </c>
      <c r="C246" s="295"/>
      <c r="D246" s="296" t="s">
        <v>575</v>
      </c>
      <c r="E246" s="296"/>
      <c r="F246" s="294" t="s">
        <v>479</v>
      </c>
      <c r="G246" s="223">
        <v>1826</v>
      </c>
      <c r="H246" s="223">
        <f t="shared" si="161"/>
        <v>83098.434132038819</v>
      </c>
      <c r="I246" s="223">
        <f t="shared" si="162"/>
        <v>83098.434132038819</v>
      </c>
      <c r="J246" s="329"/>
      <c r="K246" s="224">
        <f t="shared" ref="K246" si="163">L246+M246</f>
        <v>45.508452427184459</v>
      </c>
      <c r="L246" s="224">
        <f t="shared" ref="L246" si="164">M246*0.09</f>
        <v>3.757578640776698</v>
      </c>
      <c r="M246" s="224">
        <f t="shared" ref="M246" si="165">N246+O246+P246+Q246+S246</f>
        <v>41.750873786407759</v>
      </c>
      <c r="N246" s="225">
        <v>12</v>
      </c>
      <c r="O246" s="225">
        <f>0.0612*调差材料基价表!E13</f>
        <v>24.955339805825233</v>
      </c>
      <c r="P246" s="225"/>
      <c r="Q246" s="225">
        <v>1</v>
      </c>
      <c r="R246" s="226">
        <v>0.1</v>
      </c>
      <c r="S246" s="227">
        <f t="shared" ref="S246" si="166">SUM(N246:Q246)*R246</f>
        <v>3.7955339805825234</v>
      </c>
      <c r="T246" s="290" t="s">
        <v>2093</v>
      </c>
      <c r="U246" s="220"/>
    </row>
    <row r="247" spans="1:21" ht="94.5" outlineLevel="1">
      <c r="A247" s="233">
        <v>8</v>
      </c>
      <c r="B247" s="294">
        <v>2</v>
      </c>
      <c r="C247" s="295" t="s">
        <v>2094</v>
      </c>
      <c r="D247" s="250" t="s">
        <v>263</v>
      </c>
      <c r="E247" s="250" t="s">
        <v>576</v>
      </c>
      <c r="F247" s="233" t="s">
        <v>265</v>
      </c>
      <c r="G247" s="223">
        <v>170</v>
      </c>
      <c r="H247" s="223">
        <f t="shared" si="161"/>
        <v>0</v>
      </c>
      <c r="I247" s="223">
        <f t="shared" si="162"/>
        <v>0</v>
      </c>
      <c r="J247" s="329"/>
      <c r="K247" s="224"/>
      <c r="L247" s="224"/>
      <c r="M247" s="224"/>
      <c r="N247" s="225"/>
      <c r="O247" s="225"/>
      <c r="P247" s="225"/>
      <c r="Q247" s="225"/>
      <c r="R247" s="226"/>
      <c r="S247" s="227"/>
      <c r="T247" s="228"/>
      <c r="U247" s="220"/>
    </row>
    <row r="248" spans="1:21" ht="63" outlineLevel="2">
      <c r="A248" s="233"/>
      <c r="B248" s="233">
        <v>3</v>
      </c>
      <c r="C248" s="295"/>
      <c r="D248" s="295" t="s">
        <v>577</v>
      </c>
      <c r="E248" s="295"/>
      <c r="F248" s="292" t="s">
        <v>265</v>
      </c>
      <c r="G248" s="223">
        <v>170</v>
      </c>
      <c r="H248" s="223">
        <f t="shared" si="161"/>
        <v>7741.9729750000006</v>
      </c>
      <c r="I248" s="223">
        <f t="shared" si="162"/>
        <v>7741.9729750000006</v>
      </c>
      <c r="J248" s="330"/>
      <c r="K248" s="224">
        <f t="shared" ref="K248:K249" si="167">L248+M248</f>
        <v>45.541017500000002</v>
      </c>
      <c r="L248" s="224">
        <f t="shared" ref="L248" si="168">M248*0.09</f>
        <v>3.7602675000000003</v>
      </c>
      <c r="M248" s="224">
        <f t="shared" ref="M248:M249" si="169">N248+O248+P248+Q248+S248</f>
        <v>41.780750000000005</v>
      </c>
      <c r="N248" s="282">
        <v>28</v>
      </c>
      <c r="O248" s="282">
        <v>0</v>
      </c>
      <c r="P248" s="282">
        <v>8.49</v>
      </c>
      <c r="Q248" s="282">
        <v>1.4924999999999999</v>
      </c>
      <c r="R248" s="226">
        <v>0.1</v>
      </c>
      <c r="S248" s="227">
        <f t="shared" ref="S248:S249" si="170">SUM(N248:Q248)*R248</f>
        <v>3.7982500000000003</v>
      </c>
      <c r="T248" s="297"/>
      <c r="U248" s="222" t="s">
        <v>578</v>
      </c>
    </row>
    <row r="249" spans="1:21">
      <c r="A249" s="221"/>
      <c r="B249" s="292"/>
      <c r="C249" s="298" t="s">
        <v>248</v>
      </c>
      <c r="D249" s="293"/>
      <c r="E249" s="293"/>
      <c r="F249" s="292"/>
      <c r="G249" s="223">
        <v>0</v>
      </c>
      <c r="H249" s="299">
        <f>SUM(H226:H248)</f>
        <v>420427.91556529113</v>
      </c>
      <c r="I249" s="299">
        <f>SUM(I226:I248)</f>
        <v>420427.91556529113</v>
      </c>
      <c r="J249" s="300"/>
      <c r="K249" s="224">
        <f t="shared" si="167"/>
        <v>0</v>
      </c>
      <c r="L249" s="224">
        <f t="shared" ref="L249:L257" si="171">M249*0.09</f>
        <v>0</v>
      </c>
      <c r="M249" s="224">
        <f t="shared" si="169"/>
        <v>0</v>
      </c>
      <c r="N249" s="225"/>
      <c r="O249" s="225"/>
      <c r="P249" s="225"/>
      <c r="Q249" s="225"/>
      <c r="R249" s="226">
        <v>0.1</v>
      </c>
      <c r="S249" s="227">
        <f t="shared" si="170"/>
        <v>0</v>
      </c>
      <c r="T249" s="228"/>
      <c r="U249" s="220"/>
    </row>
    <row r="250" spans="1:21" ht="21">
      <c r="A250" s="209" t="s">
        <v>579</v>
      </c>
      <c r="B250" s="209">
        <v>1</v>
      </c>
      <c r="C250" s="210" t="s">
        <v>580</v>
      </c>
      <c r="D250" s="222"/>
      <c r="E250" s="211"/>
      <c r="F250" s="221" t="s">
        <v>581</v>
      </c>
      <c r="G250" s="223">
        <v>0</v>
      </c>
      <c r="H250" s="223"/>
      <c r="I250" s="223"/>
      <c r="J250" s="226"/>
      <c r="K250" s="224">
        <f t="shared" ref="K250" si="172">L250+M250</f>
        <v>0</v>
      </c>
      <c r="L250" s="224">
        <f t="shared" si="171"/>
        <v>0</v>
      </c>
      <c r="M250" s="224">
        <f t="shared" ref="M250" si="173">N250+O250+P250+Q250+S250</f>
        <v>0</v>
      </c>
      <c r="N250" s="225"/>
      <c r="O250" s="225"/>
      <c r="P250" s="225"/>
      <c r="Q250" s="225"/>
      <c r="R250" s="226">
        <v>0.1</v>
      </c>
      <c r="S250" s="227">
        <f t="shared" ref="S250" si="174">SUM(N250:Q250)*R250</f>
        <v>0</v>
      </c>
      <c r="T250" s="301"/>
      <c r="U250" s="220"/>
    </row>
    <row r="251" spans="1:21" ht="42" outlineLevel="1">
      <c r="A251" s="221">
        <v>1</v>
      </c>
      <c r="B251" s="221">
        <v>2</v>
      </c>
      <c r="C251" s="222" t="s">
        <v>582</v>
      </c>
      <c r="D251" s="222" t="s">
        <v>583</v>
      </c>
      <c r="E251" s="222" t="s">
        <v>584</v>
      </c>
      <c r="F251" s="221" t="s">
        <v>265</v>
      </c>
      <c r="G251" s="223">
        <v>0</v>
      </c>
      <c r="H251" s="223">
        <f t="shared" ref="H251" si="175">G251*K251</f>
        <v>0</v>
      </c>
      <c r="I251" s="223">
        <f t="shared" ref="I251" si="176">G251*K251*(1+J251)</f>
        <v>0</v>
      </c>
      <c r="J251" s="197"/>
      <c r="K251" s="224">
        <f t="shared" ref="K251:K253" si="177">L251+M251</f>
        <v>15.226101</v>
      </c>
      <c r="L251" s="224">
        <f t="shared" si="171"/>
        <v>1.257201</v>
      </c>
      <c r="M251" s="224">
        <f t="shared" ref="M251:M253" si="178">N251+O251+P251+Q251+S251</f>
        <v>13.9689</v>
      </c>
      <c r="N251" s="282">
        <v>8</v>
      </c>
      <c r="O251" s="282">
        <v>4.5</v>
      </c>
      <c r="P251" s="282"/>
      <c r="Q251" s="282">
        <v>0.19900000000000001</v>
      </c>
      <c r="R251" s="226">
        <v>0.1</v>
      </c>
      <c r="S251" s="224">
        <f t="shared" ref="S251:S253" si="179">SUM(N251:Q251)*R251</f>
        <v>1.2699</v>
      </c>
      <c r="T251" s="301"/>
      <c r="U251" s="220"/>
    </row>
    <row r="252" spans="1:21" ht="42" outlineLevel="1">
      <c r="A252" s="221">
        <v>2</v>
      </c>
      <c r="B252" s="221">
        <v>2</v>
      </c>
      <c r="C252" s="222" t="s">
        <v>585</v>
      </c>
      <c r="D252" s="222" t="s">
        <v>586</v>
      </c>
      <c r="E252" s="222" t="s">
        <v>584</v>
      </c>
      <c r="F252" s="221" t="s">
        <v>265</v>
      </c>
      <c r="G252" s="223">
        <v>0</v>
      </c>
      <c r="H252" s="223">
        <f t="shared" ref="H252:H257" si="180">G252*K252</f>
        <v>0</v>
      </c>
      <c r="I252" s="223">
        <f t="shared" ref="I252:I257" si="181">G252*K252*(1+J252)</f>
        <v>0</v>
      </c>
      <c r="J252" s="197"/>
      <c r="K252" s="224">
        <f t="shared" si="177"/>
        <v>27.695701</v>
      </c>
      <c r="L252" s="224">
        <f t="shared" si="171"/>
        <v>2.2868009999999996</v>
      </c>
      <c r="M252" s="224">
        <f t="shared" si="178"/>
        <v>25.408899999999999</v>
      </c>
      <c r="N252" s="282">
        <v>14</v>
      </c>
      <c r="O252" s="282">
        <v>8</v>
      </c>
      <c r="P252" s="282">
        <v>0.9</v>
      </c>
      <c r="Q252" s="282">
        <v>0.19900000000000001</v>
      </c>
      <c r="R252" s="226">
        <v>0.1</v>
      </c>
      <c r="S252" s="224">
        <f t="shared" si="179"/>
        <v>2.3099000000000003</v>
      </c>
      <c r="T252" s="301"/>
      <c r="U252" s="220"/>
    </row>
    <row r="253" spans="1:21" ht="42" outlineLevel="1">
      <c r="A253" s="221">
        <v>3</v>
      </c>
      <c r="B253" s="221">
        <v>2</v>
      </c>
      <c r="C253" s="222" t="s">
        <v>587</v>
      </c>
      <c r="D253" s="222" t="s">
        <v>588</v>
      </c>
      <c r="E253" s="222" t="s">
        <v>584</v>
      </c>
      <c r="F253" s="221" t="s">
        <v>265</v>
      </c>
      <c r="G253" s="223">
        <v>0</v>
      </c>
      <c r="H253" s="223">
        <f t="shared" si="180"/>
        <v>0</v>
      </c>
      <c r="I253" s="223">
        <f t="shared" si="181"/>
        <v>0</v>
      </c>
      <c r="J253" s="197"/>
      <c r="K253" s="224">
        <f t="shared" si="177"/>
        <v>25.297701</v>
      </c>
      <c r="L253" s="224">
        <f t="shared" si="171"/>
        <v>2.0888010000000001</v>
      </c>
      <c r="M253" s="224">
        <f t="shared" si="178"/>
        <v>23.2089</v>
      </c>
      <c r="N253" s="282">
        <v>14</v>
      </c>
      <c r="O253" s="282">
        <v>6</v>
      </c>
      <c r="P253" s="282">
        <v>0.9</v>
      </c>
      <c r="Q253" s="282">
        <v>0.19900000000000001</v>
      </c>
      <c r="R253" s="226">
        <v>0.1</v>
      </c>
      <c r="S253" s="224">
        <f t="shared" si="179"/>
        <v>2.1099000000000001</v>
      </c>
      <c r="T253" s="301"/>
      <c r="U253" s="220"/>
    </row>
    <row r="254" spans="1:21" ht="94.5" outlineLevel="1">
      <c r="A254" s="221">
        <v>4</v>
      </c>
      <c r="B254" s="221">
        <v>2</v>
      </c>
      <c r="C254" s="220" t="s">
        <v>589</v>
      </c>
      <c r="D254" s="222" t="s">
        <v>263</v>
      </c>
      <c r="E254" s="222"/>
      <c r="F254" s="221" t="s">
        <v>265</v>
      </c>
      <c r="G254" s="223">
        <v>0</v>
      </c>
      <c r="H254" s="223">
        <f t="shared" si="180"/>
        <v>0</v>
      </c>
      <c r="I254" s="223">
        <f t="shared" si="181"/>
        <v>0</v>
      </c>
      <c r="J254" s="197"/>
      <c r="K254" s="224"/>
      <c r="L254" s="224">
        <f t="shared" si="171"/>
        <v>0</v>
      </c>
      <c r="M254" s="224"/>
      <c r="N254" s="282"/>
      <c r="O254" s="282"/>
      <c r="P254" s="282"/>
      <c r="Q254" s="282"/>
      <c r="R254" s="226">
        <v>0.1</v>
      </c>
      <c r="S254" s="227"/>
      <c r="T254" s="297"/>
      <c r="U254" s="220"/>
    </row>
    <row r="255" spans="1:21" ht="21" outlineLevel="2">
      <c r="A255" s="221"/>
      <c r="B255" s="221">
        <v>3</v>
      </c>
      <c r="C255" s="222" t="s">
        <v>266</v>
      </c>
      <c r="D255" s="222" t="s">
        <v>590</v>
      </c>
      <c r="E255" s="222"/>
      <c r="F255" s="221" t="s">
        <v>265</v>
      </c>
      <c r="G255" s="223">
        <v>0</v>
      </c>
      <c r="H255" s="223">
        <f t="shared" si="180"/>
        <v>0</v>
      </c>
      <c r="I255" s="223">
        <f t="shared" si="181"/>
        <v>0</v>
      </c>
      <c r="J255" s="197"/>
      <c r="K255" s="224">
        <f t="shared" ref="K255:K257" si="182">L255+M255</f>
        <v>11.390499999999999</v>
      </c>
      <c r="L255" s="224">
        <f t="shared" si="171"/>
        <v>0.94049999999999989</v>
      </c>
      <c r="M255" s="224">
        <f t="shared" ref="M255:M257" si="183">N255+O255+P255+Q255+S255</f>
        <v>10.45</v>
      </c>
      <c r="N255" s="282">
        <v>3.5</v>
      </c>
      <c r="O255" s="282">
        <v>6</v>
      </c>
      <c r="P255" s="282">
        <v>0</v>
      </c>
      <c r="Q255" s="282">
        <v>0</v>
      </c>
      <c r="R255" s="226">
        <v>0.1</v>
      </c>
      <c r="S255" s="224">
        <f t="shared" ref="S255:S257" si="184">SUM(N255:Q255)*R255</f>
        <v>0.95000000000000007</v>
      </c>
      <c r="T255" s="302" t="s">
        <v>2023</v>
      </c>
      <c r="U255" s="303" t="s">
        <v>2022</v>
      </c>
    </row>
    <row r="256" spans="1:21" ht="21" outlineLevel="2">
      <c r="A256" s="221"/>
      <c r="B256" s="221">
        <v>3</v>
      </c>
      <c r="C256" s="222" t="s">
        <v>269</v>
      </c>
      <c r="D256" s="222" t="s">
        <v>593</v>
      </c>
      <c r="E256" s="222"/>
      <c r="F256" s="221" t="s">
        <v>265</v>
      </c>
      <c r="G256" s="223">
        <v>0</v>
      </c>
      <c r="H256" s="223">
        <f t="shared" si="180"/>
        <v>0</v>
      </c>
      <c r="I256" s="223">
        <f t="shared" si="181"/>
        <v>0</v>
      </c>
      <c r="J256" s="197"/>
      <c r="K256" s="224">
        <f t="shared" si="182"/>
        <v>13.189</v>
      </c>
      <c r="L256" s="224">
        <f t="shared" si="171"/>
        <v>1.089</v>
      </c>
      <c r="M256" s="224">
        <f t="shared" si="183"/>
        <v>12.1</v>
      </c>
      <c r="N256" s="282">
        <v>5</v>
      </c>
      <c r="O256" s="282">
        <v>6</v>
      </c>
      <c r="P256" s="282">
        <v>0</v>
      </c>
      <c r="Q256" s="282">
        <v>0</v>
      </c>
      <c r="R256" s="226">
        <v>0.1</v>
      </c>
      <c r="S256" s="224">
        <f t="shared" si="184"/>
        <v>1.1000000000000001</v>
      </c>
      <c r="T256" s="302" t="s">
        <v>2024</v>
      </c>
      <c r="U256" s="303" t="s">
        <v>2022</v>
      </c>
    </row>
    <row r="257" spans="1:22" ht="21" outlineLevel="2">
      <c r="A257" s="221"/>
      <c r="B257" s="221">
        <v>3</v>
      </c>
      <c r="C257" s="222" t="s">
        <v>269</v>
      </c>
      <c r="D257" s="222" t="s">
        <v>594</v>
      </c>
      <c r="E257" s="222"/>
      <c r="F257" s="221" t="s">
        <v>265</v>
      </c>
      <c r="G257" s="223">
        <v>0</v>
      </c>
      <c r="H257" s="223">
        <f t="shared" si="180"/>
        <v>0</v>
      </c>
      <c r="I257" s="223">
        <f t="shared" si="181"/>
        <v>0</v>
      </c>
      <c r="J257" s="197"/>
      <c r="K257" s="224">
        <f t="shared" si="182"/>
        <v>13.189</v>
      </c>
      <c r="L257" s="224">
        <f t="shared" si="171"/>
        <v>1.089</v>
      </c>
      <c r="M257" s="224">
        <f t="shared" si="183"/>
        <v>12.1</v>
      </c>
      <c r="N257" s="282">
        <v>5</v>
      </c>
      <c r="O257" s="282">
        <v>6</v>
      </c>
      <c r="P257" s="282">
        <v>0</v>
      </c>
      <c r="Q257" s="282">
        <v>0</v>
      </c>
      <c r="R257" s="226">
        <v>0.1</v>
      </c>
      <c r="S257" s="224">
        <f t="shared" si="184"/>
        <v>1.1000000000000001</v>
      </c>
      <c r="T257" s="302" t="s">
        <v>2024</v>
      </c>
      <c r="U257" s="303" t="s">
        <v>2022</v>
      </c>
    </row>
    <row r="258" spans="1:22" ht="157.5" outlineLevel="1">
      <c r="A258" s="221">
        <v>5</v>
      </c>
      <c r="B258" s="221">
        <v>2</v>
      </c>
      <c r="C258" s="220" t="s">
        <v>595</v>
      </c>
      <c r="D258" s="222" t="s">
        <v>263</v>
      </c>
      <c r="E258" s="221" t="s">
        <v>596</v>
      </c>
      <c r="F258" s="221" t="s">
        <v>265</v>
      </c>
      <c r="G258" s="223">
        <v>3848.7477265851599</v>
      </c>
      <c r="H258" s="223"/>
      <c r="I258" s="223"/>
      <c r="J258" s="197"/>
      <c r="K258" s="224"/>
      <c r="L258" s="224"/>
      <c r="M258" s="224"/>
      <c r="N258" s="282"/>
      <c r="O258" s="282"/>
      <c r="P258" s="282"/>
      <c r="Q258" s="282"/>
      <c r="R258" s="226"/>
      <c r="S258" s="224"/>
      <c r="T258" s="304"/>
      <c r="U258" s="303"/>
    </row>
    <row r="259" spans="1:22" ht="31.5" outlineLevel="2">
      <c r="A259" s="221"/>
      <c r="B259" s="221">
        <v>3</v>
      </c>
      <c r="C259" s="222" t="s">
        <v>266</v>
      </c>
      <c r="D259" s="222" t="s">
        <v>597</v>
      </c>
      <c r="E259" s="222"/>
      <c r="F259" s="221" t="s">
        <v>479</v>
      </c>
      <c r="G259" s="223">
        <v>2778.3016042528402</v>
      </c>
      <c r="H259" s="223">
        <f t="shared" ref="H259" si="185">G259*K259</f>
        <v>77014.300007961021</v>
      </c>
      <c r="I259" s="223">
        <f t="shared" ref="I259" si="186">G259*K259*(1+J259)</f>
        <v>77014.300007961021</v>
      </c>
      <c r="J259" s="197"/>
      <c r="K259" s="224">
        <f t="shared" ref="K259:K260" si="187">L259+M259</f>
        <v>27.719920648669902</v>
      </c>
      <c r="L259" s="224">
        <f t="shared" ref="L259:L264" si="188">M259*0.09</f>
        <v>2.2888007875048544</v>
      </c>
      <c r="M259" s="224">
        <f t="shared" ref="M259:M260" si="189">N259+O259+P259+Q259+S259</f>
        <v>25.431119861165048</v>
      </c>
      <c r="N259" s="282">
        <v>14</v>
      </c>
      <c r="O259" s="282">
        <f>8.783*调差材料基价表!$E$63/1000+调差材料基价表!$E$64*0.0269</f>
        <v>7.8891998737864064</v>
      </c>
      <c r="P259" s="282">
        <v>1.23</v>
      </c>
      <c r="Q259" s="282">
        <v>0</v>
      </c>
      <c r="R259" s="226">
        <v>0.1</v>
      </c>
      <c r="S259" s="224">
        <f t="shared" ref="S259:S260" si="190">SUM(N259:Q259)*R259</f>
        <v>2.3119199873786407</v>
      </c>
      <c r="T259" s="252"/>
      <c r="U259" s="303"/>
    </row>
    <row r="260" spans="1:22" ht="21" outlineLevel="2">
      <c r="A260" s="221"/>
      <c r="B260" s="221">
        <v>3</v>
      </c>
      <c r="C260" s="222" t="s">
        <v>269</v>
      </c>
      <c r="D260" s="222" t="s">
        <v>598</v>
      </c>
      <c r="E260" s="222"/>
      <c r="F260" s="221" t="s">
        <v>479</v>
      </c>
      <c r="G260" s="223">
        <v>2778.3016042528402</v>
      </c>
      <c r="H260" s="223">
        <f t="shared" ref="H260:H261" si="191">G260*K260</f>
        <v>38308.611670240287</v>
      </c>
      <c r="I260" s="223">
        <f t="shared" ref="I260:I261" si="192">G260*K260*(1+J260)</f>
        <v>38308.611670240287</v>
      </c>
      <c r="J260" s="197"/>
      <c r="K260" s="224">
        <f t="shared" si="187"/>
        <v>13.788500000000001</v>
      </c>
      <c r="L260" s="224">
        <f t="shared" si="188"/>
        <v>1.1385000000000001</v>
      </c>
      <c r="M260" s="224">
        <f t="shared" si="189"/>
        <v>12.65</v>
      </c>
      <c r="N260" s="282">
        <v>5.5</v>
      </c>
      <c r="O260" s="282">
        <v>6</v>
      </c>
      <c r="P260" s="282">
        <v>0</v>
      </c>
      <c r="Q260" s="282">
        <v>0</v>
      </c>
      <c r="R260" s="226">
        <v>0.1</v>
      </c>
      <c r="S260" s="227">
        <f t="shared" si="190"/>
        <v>1.1500000000000001</v>
      </c>
      <c r="T260" s="278" t="s">
        <v>591</v>
      </c>
      <c r="U260" s="220" t="s">
        <v>592</v>
      </c>
    </row>
    <row r="261" spans="1:22" ht="21" outlineLevel="2">
      <c r="A261" s="221"/>
      <c r="B261" s="221">
        <v>3</v>
      </c>
      <c r="C261" s="220" t="s">
        <v>275</v>
      </c>
      <c r="D261" s="248" t="s">
        <v>599</v>
      </c>
      <c r="E261" s="248"/>
      <c r="F261" s="221" t="s">
        <v>479</v>
      </c>
      <c r="G261" s="223">
        <v>2778.3016042528402</v>
      </c>
      <c r="H261" s="223">
        <f t="shared" si="191"/>
        <v>50655.445122175202</v>
      </c>
      <c r="I261" s="223">
        <f t="shared" si="192"/>
        <v>50655.445122175202</v>
      </c>
      <c r="J261" s="197"/>
      <c r="K261" s="224">
        <v>18.232521999999999</v>
      </c>
      <c r="L261" s="224">
        <f t="shared" si="188"/>
        <v>1.4917517999999999</v>
      </c>
      <c r="M261" s="224">
        <v>16.575019999999999</v>
      </c>
      <c r="N261" s="282">
        <v>9</v>
      </c>
      <c r="O261" s="282">
        <v>6</v>
      </c>
      <c r="P261" s="282">
        <v>0</v>
      </c>
      <c r="Q261" s="282">
        <v>0</v>
      </c>
      <c r="R261" s="226">
        <v>0.1</v>
      </c>
      <c r="S261" s="227">
        <v>2.0990199999999999</v>
      </c>
      <c r="T261" s="278" t="s">
        <v>591</v>
      </c>
      <c r="U261" s="220" t="s">
        <v>592</v>
      </c>
    </row>
    <row r="262" spans="1:22" ht="126" outlineLevel="1">
      <c r="A262" s="221">
        <v>6</v>
      </c>
      <c r="B262" s="221">
        <v>2</v>
      </c>
      <c r="C262" s="220" t="s">
        <v>600</v>
      </c>
      <c r="D262" s="222" t="s">
        <v>263</v>
      </c>
      <c r="E262" s="221" t="s">
        <v>601</v>
      </c>
      <c r="F262" s="221" t="s">
        <v>265</v>
      </c>
      <c r="G262" s="223">
        <v>3496.4843252864498</v>
      </c>
      <c r="H262" s="223"/>
      <c r="I262" s="223"/>
      <c r="J262" s="197"/>
      <c r="K262" s="224"/>
      <c r="L262" s="224"/>
      <c r="M262" s="224"/>
      <c r="N262" s="282"/>
      <c r="O262" s="282"/>
      <c r="P262" s="282"/>
      <c r="Q262" s="282"/>
      <c r="R262" s="226"/>
      <c r="S262" s="224"/>
      <c r="T262" s="304"/>
      <c r="U262" s="303"/>
    </row>
    <row r="263" spans="1:22" ht="21" outlineLevel="2">
      <c r="A263" s="221"/>
      <c r="B263" s="221">
        <v>3</v>
      </c>
      <c r="C263" s="222" t="s">
        <v>266</v>
      </c>
      <c r="D263" s="222" t="s">
        <v>598</v>
      </c>
      <c r="E263" s="222"/>
      <c r="F263" s="221" t="s">
        <v>479</v>
      </c>
      <c r="G263" s="223">
        <v>1024.9103923596199</v>
      </c>
      <c r="H263" s="223">
        <f t="shared" ref="H263:H264" si="193">G263*K263</f>
        <v>14131.976945050619</v>
      </c>
      <c r="I263" s="223">
        <f t="shared" ref="I263:I264" si="194">G263*K263*(1+J263)</f>
        <v>14131.976945050619</v>
      </c>
      <c r="J263" s="197"/>
      <c r="K263" s="224">
        <f t="shared" ref="K263" si="195">L263+M263</f>
        <v>13.788500000000001</v>
      </c>
      <c r="L263" s="224">
        <f t="shared" si="188"/>
        <v>1.1385000000000001</v>
      </c>
      <c r="M263" s="224">
        <f t="shared" ref="M263" si="196">N263+O263+P263+Q263+S263</f>
        <v>12.65</v>
      </c>
      <c r="N263" s="282">
        <v>5.5</v>
      </c>
      <c r="O263" s="282">
        <v>6</v>
      </c>
      <c r="P263" s="282">
        <v>0</v>
      </c>
      <c r="Q263" s="282">
        <v>0</v>
      </c>
      <c r="R263" s="226">
        <v>0.1</v>
      </c>
      <c r="S263" s="227">
        <f t="shared" ref="S263" si="197">SUM(N263:Q263)*R263</f>
        <v>1.1500000000000001</v>
      </c>
      <c r="T263" s="278" t="s">
        <v>591</v>
      </c>
      <c r="U263" s="220" t="s">
        <v>592</v>
      </c>
    </row>
    <row r="264" spans="1:22" ht="21" outlineLevel="2">
      <c r="A264" s="221"/>
      <c r="B264" s="221">
        <v>3</v>
      </c>
      <c r="C264" s="222" t="s">
        <v>269</v>
      </c>
      <c r="D264" s="248" t="s">
        <v>599</v>
      </c>
      <c r="E264" s="248"/>
      <c r="F264" s="221" t="s">
        <v>479</v>
      </c>
      <c r="G264" s="223">
        <v>1024.9103923596199</v>
      </c>
      <c r="H264" s="223">
        <f t="shared" si="193"/>
        <v>18686.701276725402</v>
      </c>
      <c r="I264" s="223">
        <f t="shared" si="194"/>
        <v>18686.701276725402</v>
      </c>
      <c r="J264" s="197"/>
      <c r="K264" s="224">
        <v>18.232521999999999</v>
      </c>
      <c r="L264" s="224">
        <f t="shared" si="188"/>
        <v>1.4917517999999999</v>
      </c>
      <c r="M264" s="224">
        <v>16.575019999999999</v>
      </c>
      <c r="N264" s="282">
        <v>9</v>
      </c>
      <c r="O264" s="282">
        <v>6</v>
      </c>
      <c r="P264" s="282">
        <v>0</v>
      </c>
      <c r="Q264" s="282">
        <v>0</v>
      </c>
      <c r="R264" s="226">
        <v>0.1</v>
      </c>
      <c r="S264" s="227">
        <v>2.0990199999999999</v>
      </c>
      <c r="T264" s="278" t="s">
        <v>591</v>
      </c>
      <c r="U264" s="220" t="s">
        <v>592</v>
      </c>
    </row>
    <row r="265" spans="1:22" ht="63" outlineLevel="1">
      <c r="A265" s="221">
        <v>7</v>
      </c>
      <c r="B265" s="221">
        <v>2</v>
      </c>
      <c r="C265" s="277" t="s">
        <v>602</v>
      </c>
      <c r="D265" s="222" t="s">
        <v>263</v>
      </c>
      <c r="E265" s="277" t="s">
        <v>603</v>
      </c>
      <c r="F265" s="221" t="s">
        <v>265</v>
      </c>
      <c r="G265" s="223">
        <v>0</v>
      </c>
      <c r="H265" s="223">
        <f t="shared" ref="H265:H270" si="198">G265*K265</f>
        <v>0</v>
      </c>
      <c r="I265" s="223">
        <f t="shared" ref="I265:I270" si="199">G265*K265*(1+J265)</f>
        <v>0</v>
      </c>
      <c r="J265" s="197"/>
      <c r="K265" s="224"/>
      <c r="L265" s="224">
        <f t="shared" ref="L265:L270" si="200">M265*0.09</f>
        <v>0</v>
      </c>
      <c r="M265" s="224"/>
      <c r="N265" s="305"/>
      <c r="O265" s="305"/>
      <c r="P265" s="305"/>
      <c r="Q265" s="305"/>
      <c r="R265" s="226">
        <v>0.1</v>
      </c>
      <c r="S265" s="305"/>
      <c r="T265" s="301"/>
      <c r="U265" s="220"/>
    </row>
    <row r="266" spans="1:22" ht="21" outlineLevel="2">
      <c r="A266" s="221"/>
      <c r="B266" s="221">
        <v>3</v>
      </c>
      <c r="C266" s="276" t="s">
        <v>266</v>
      </c>
      <c r="D266" s="222" t="s">
        <v>604</v>
      </c>
      <c r="E266" s="277"/>
      <c r="F266" s="306" t="s">
        <v>265</v>
      </c>
      <c r="G266" s="223">
        <v>0</v>
      </c>
      <c r="H266" s="223">
        <f t="shared" si="198"/>
        <v>0</v>
      </c>
      <c r="I266" s="223">
        <f t="shared" si="199"/>
        <v>0</v>
      </c>
      <c r="J266" s="330"/>
      <c r="K266" s="224">
        <f t="shared" ref="K266:K267" si="201">L266+M266</f>
        <v>15.226101</v>
      </c>
      <c r="L266" s="224">
        <f t="shared" si="200"/>
        <v>1.257201</v>
      </c>
      <c r="M266" s="224">
        <f t="shared" ref="M266:M267" si="202">N266+O266+P266+Q266+S266</f>
        <v>13.9689</v>
      </c>
      <c r="N266" s="282">
        <f>N251</f>
        <v>8</v>
      </c>
      <c r="O266" s="282">
        <v>4.5</v>
      </c>
      <c r="P266" s="282"/>
      <c r="Q266" s="282">
        <v>0.19900000000000001</v>
      </c>
      <c r="R266" s="226">
        <v>0.1</v>
      </c>
      <c r="S266" s="224">
        <f t="shared" ref="S266" si="203">SUM(N266:Q266)*R266</f>
        <v>1.2699</v>
      </c>
      <c r="T266" s="297"/>
      <c r="U266" s="220"/>
    </row>
    <row r="267" spans="1:22" ht="42" outlineLevel="2">
      <c r="A267" s="221"/>
      <c r="B267" s="221">
        <v>3</v>
      </c>
      <c r="C267" s="277" t="s">
        <v>269</v>
      </c>
      <c r="D267" s="222" t="s">
        <v>605</v>
      </c>
      <c r="E267" s="277"/>
      <c r="F267" s="306" t="s">
        <v>265</v>
      </c>
      <c r="G267" s="223">
        <v>0</v>
      </c>
      <c r="H267" s="223">
        <f t="shared" si="198"/>
        <v>0</v>
      </c>
      <c r="I267" s="223">
        <f t="shared" si="199"/>
        <v>0</v>
      </c>
      <c r="J267" s="330"/>
      <c r="K267" s="224">
        <f t="shared" si="201"/>
        <v>57.531017500000004</v>
      </c>
      <c r="L267" s="224">
        <f t="shared" si="200"/>
        <v>4.7502675000000005</v>
      </c>
      <c r="M267" s="224">
        <f t="shared" si="202"/>
        <v>52.780750000000005</v>
      </c>
      <c r="N267" s="282">
        <v>38</v>
      </c>
      <c r="O267" s="282">
        <v>0</v>
      </c>
      <c r="P267" s="282">
        <v>8.49</v>
      </c>
      <c r="Q267" s="282">
        <v>1.4924999999999999</v>
      </c>
      <c r="R267" s="226">
        <v>0.1</v>
      </c>
      <c r="S267" s="227">
        <f t="shared" ref="S267" si="204">SUM(N267:Q267)*R267</f>
        <v>4.7982500000000003</v>
      </c>
      <c r="T267" s="297"/>
      <c r="U267" s="222" t="s">
        <v>578</v>
      </c>
      <c r="V267" s="17" t="s">
        <v>435</v>
      </c>
    </row>
    <row r="268" spans="1:22" ht="63" outlineLevel="1">
      <c r="A268" s="221">
        <v>8</v>
      </c>
      <c r="B268" s="221">
        <v>2</v>
      </c>
      <c r="C268" s="276" t="s">
        <v>606</v>
      </c>
      <c r="D268" s="277" t="s">
        <v>263</v>
      </c>
      <c r="E268" s="277" t="s">
        <v>607</v>
      </c>
      <c r="F268" s="221" t="s">
        <v>265</v>
      </c>
      <c r="G268" s="223">
        <v>0</v>
      </c>
      <c r="H268" s="223">
        <f t="shared" si="198"/>
        <v>0</v>
      </c>
      <c r="I268" s="223">
        <f t="shared" si="199"/>
        <v>0</v>
      </c>
      <c r="J268" s="197"/>
      <c r="K268" s="224"/>
      <c r="L268" s="224">
        <f t="shared" si="200"/>
        <v>0</v>
      </c>
      <c r="M268" s="224"/>
      <c r="N268" s="282"/>
      <c r="O268" s="282"/>
      <c r="P268" s="282"/>
      <c r="Q268" s="282"/>
      <c r="R268" s="226">
        <v>0.1</v>
      </c>
      <c r="S268" s="227"/>
      <c r="T268" s="297"/>
      <c r="U268" s="220"/>
    </row>
    <row r="269" spans="1:22" ht="21" outlineLevel="2">
      <c r="A269" s="221"/>
      <c r="B269" s="221">
        <v>3</v>
      </c>
      <c r="C269" s="266" t="s">
        <v>266</v>
      </c>
      <c r="D269" s="266" t="s">
        <v>604</v>
      </c>
      <c r="E269" s="267"/>
      <c r="F269" s="306" t="s">
        <v>265</v>
      </c>
      <c r="G269" s="223">
        <v>0</v>
      </c>
      <c r="H269" s="223">
        <f t="shared" si="198"/>
        <v>0</v>
      </c>
      <c r="I269" s="223">
        <f t="shared" si="199"/>
        <v>0</v>
      </c>
      <c r="J269" s="330"/>
      <c r="K269" s="224">
        <f t="shared" ref="K269:K270" si="205">L269+M269</f>
        <v>15.226101</v>
      </c>
      <c r="L269" s="224">
        <f t="shared" si="200"/>
        <v>1.257201</v>
      </c>
      <c r="M269" s="224">
        <f t="shared" ref="M269:M270" si="206">N269+O269+P269+Q269+S269</f>
        <v>13.9689</v>
      </c>
      <c r="N269" s="282">
        <v>8</v>
      </c>
      <c r="O269" s="282">
        <v>4.5</v>
      </c>
      <c r="P269" s="282"/>
      <c r="Q269" s="282">
        <v>0.19900000000000001</v>
      </c>
      <c r="R269" s="226">
        <v>0.1</v>
      </c>
      <c r="S269" s="224">
        <f t="shared" ref="S269:S270" si="207">SUM(N269:Q269)*R269</f>
        <v>1.2699</v>
      </c>
      <c r="T269" s="297"/>
      <c r="U269" s="220"/>
    </row>
    <row r="270" spans="1:22" ht="52.5" outlineLevel="2">
      <c r="A270" s="221"/>
      <c r="B270" s="221">
        <v>3</v>
      </c>
      <c r="C270" s="267" t="s">
        <v>266</v>
      </c>
      <c r="D270" s="267" t="s">
        <v>608</v>
      </c>
      <c r="E270" s="267" t="s">
        <v>609</v>
      </c>
      <c r="F270" s="221" t="s">
        <v>265</v>
      </c>
      <c r="G270" s="223">
        <v>0</v>
      </c>
      <c r="H270" s="223">
        <f t="shared" si="198"/>
        <v>0</v>
      </c>
      <c r="I270" s="223">
        <f t="shared" si="199"/>
        <v>0</v>
      </c>
      <c r="J270" s="197"/>
      <c r="K270" s="224">
        <f t="shared" si="205"/>
        <v>27.719920648669902</v>
      </c>
      <c r="L270" s="224">
        <f t="shared" si="200"/>
        <v>2.2888007875048544</v>
      </c>
      <c r="M270" s="224">
        <f t="shared" si="206"/>
        <v>25.431119861165048</v>
      </c>
      <c r="N270" s="282">
        <v>14</v>
      </c>
      <c r="O270" s="282">
        <f>8.783*调差材料基价表!$E$63/1000+调差材料基价表!$E$64*0.0269</f>
        <v>7.8891998737864064</v>
      </c>
      <c r="P270" s="282">
        <v>1.23</v>
      </c>
      <c r="Q270" s="282">
        <v>0</v>
      </c>
      <c r="R270" s="226">
        <v>0.1</v>
      </c>
      <c r="S270" s="224">
        <f t="shared" si="207"/>
        <v>2.3119199873786407</v>
      </c>
      <c r="T270" s="252" t="s">
        <v>610</v>
      </c>
      <c r="U270" s="220"/>
      <c r="V270" s="17" t="s">
        <v>611</v>
      </c>
    </row>
    <row r="271" spans="1:22" ht="73.5" outlineLevel="1">
      <c r="A271" s="221">
        <v>9</v>
      </c>
      <c r="B271" s="221">
        <v>2</v>
      </c>
      <c r="C271" s="277" t="s">
        <v>2025</v>
      </c>
      <c r="D271" s="222" t="s">
        <v>263</v>
      </c>
      <c r="E271" s="277" t="s">
        <v>612</v>
      </c>
      <c r="F271" s="221" t="s">
        <v>265</v>
      </c>
      <c r="G271" s="223">
        <v>79.2</v>
      </c>
      <c r="H271" s="223">
        <f t="shared" ref="H271:H273" si="208">G271*K271</f>
        <v>0</v>
      </c>
      <c r="I271" s="223">
        <f t="shared" ref="I271:I273" si="209">G271*K271*(1+J271)</f>
        <v>0</v>
      </c>
      <c r="J271" s="197"/>
      <c r="K271" s="224"/>
      <c r="L271" s="224"/>
      <c r="M271" s="224"/>
      <c r="N271" s="282"/>
      <c r="O271" s="282"/>
      <c r="P271" s="282"/>
      <c r="Q271" s="282"/>
      <c r="R271" s="226"/>
      <c r="S271" s="224"/>
      <c r="T271" s="252"/>
      <c r="U271" s="220"/>
      <c r="V271" s="17"/>
    </row>
    <row r="272" spans="1:22" ht="42" outlineLevel="2">
      <c r="A272" s="221"/>
      <c r="B272" s="221"/>
      <c r="C272" s="276" t="s">
        <v>266</v>
      </c>
      <c r="D272" s="222" t="s">
        <v>2026</v>
      </c>
      <c r="E272" s="277"/>
      <c r="F272" s="306" t="s">
        <v>265</v>
      </c>
      <c r="G272" s="223">
        <v>79.2</v>
      </c>
      <c r="H272" s="223">
        <f t="shared" si="208"/>
        <v>2195.4177153746564</v>
      </c>
      <c r="I272" s="223">
        <f t="shared" si="209"/>
        <v>2195.4177153746564</v>
      </c>
      <c r="J272" s="197"/>
      <c r="K272" s="224">
        <f t="shared" ref="K272:K273" si="210">L272+M272</f>
        <v>27.719920648669902</v>
      </c>
      <c r="L272" s="224">
        <f t="shared" ref="L272:L273" si="211">M272*0.09</f>
        <v>2.2888007875048544</v>
      </c>
      <c r="M272" s="224">
        <f t="shared" ref="M272:M273" si="212">N272+O272+P272+Q272+S272</f>
        <v>25.431119861165048</v>
      </c>
      <c r="N272" s="282">
        <v>14</v>
      </c>
      <c r="O272" s="282">
        <f>8.783*调差材料基价表!$E$63/1000+调差材料基价表!$E$64*0.0269</f>
        <v>7.8891998737864064</v>
      </c>
      <c r="P272" s="282">
        <v>1.23</v>
      </c>
      <c r="Q272" s="282">
        <v>0</v>
      </c>
      <c r="R272" s="226">
        <v>0.1</v>
      </c>
      <c r="S272" s="224">
        <f t="shared" ref="S272" si="213">SUM(N272:Q272)*R272</f>
        <v>2.3119199873786407</v>
      </c>
      <c r="T272" s="252"/>
      <c r="U272" s="220"/>
      <c r="V272" s="17"/>
    </row>
    <row r="273" spans="1:22" ht="42" outlineLevel="2">
      <c r="A273" s="221"/>
      <c r="B273" s="221"/>
      <c r="C273" s="277" t="s">
        <v>269</v>
      </c>
      <c r="D273" s="222" t="s">
        <v>2027</v>
      </c>
      <c r="E273" s="277"/>
      <c r="F273" s="306" t="s">
        <v>265</v>
      </c>
      <c r="G273" s="223">
        <v>33</v>
      </c>
      <c r="H273" s="223">
        <f t="shared" si="208"/>
        <v>1898.5235775000001</v>
      </c>
      <c r="I273" s="223">
        <f t="shared" si="209"/>
        <v>1898.5235775000001</v>
      </c>
      <c r="J273" s="197"/>
      <c r="K273" s="224">
        <f t="shared" si="210"/>
        <v>57.531017500000004</v>
      </c>
      <c r="L273" s="224">
        <f t="shared" si="211"/>
        <v>4.7502675000000005</v>
      </c>
      <c r="M273" s="224">
        <f t="shared" si="212"/>
        <v>52.780750000000005</v>
      </c>
      <c r="N273" s="282">
        <v>38</v>
      </c>
      <c r="O273" s="282">
        <v>0</v>
      </c>
      <c r="P273" s="282">
        <v>8.49</v>
      </c>
      <c r="Q273" s="282">
        <v>1.4924999999999999</v>
      </c>
      <c r="R273" s="226">
        <v>0.1</v>
      </c>
      <c r="S273" s="227">
        <f t="shared" ref="S273" si="214">SUM(N273:Q273)*R273</f>
        <v>4.7982500000000003</v>
      </c>
      <c r="T273" s="297"/>
      <c r="U273" s="222" t="s">
        <v>578</v>
      </c>
      <c r="V273" s="17"/>
    </row>
    <row r="274" spans="1:22" ht="94.5" outlineLevel="1">
      <c r="A274" s="221">
        <v>10</v>
      </c>
      <c r="B274" s="221">
        <v>2</v>
      </c>
      <c r="C274" s="220" t="s">
        <v>613</v>
      </c>
      <c r="D274" s="222" t="s">
        <v>263</v>
      </c>
      <c r="E274" s="222" t="s">
        <v>584</v>
      </c>
      <c r="F274" s="306"/>
      <c r="G274" s="223">
        <v>0</v>
      </c>
      <c r="H274" s="223">
        <f t="shared" ref="H274:H280" si="215">G274*K274</f>
        <v>0</v>
      </c>
      <c r="I274" s="223">
        <f t="shared" ref="I274:I280" si="216">G274*K274*(1+J274)</f>
        <v>0</v>
      </c>
      <c r="J274" s="330"/>
      <c r="K274" s="224"/>
      <c r="L274" s="224">
        <f t="shared" ref="L274:L280" si="217">M274*0.09</f>
        <v>0</v>
      </c>
      <c r="M274" s="224"/>
      <c r="N274" s="305"/>
      <c r="O274" s="305"/>
      <c r="P274" s="305"/>
      <c r="Q274" s="305"/>
      <c r="R274" s="226">
        <v>0.1</v>
      </c>
      <c r="S274" s="305"/>
      <c r="T274" s="301"/>
      <c r="U274" s="220"/>
    </row>
    <row r="275" spans="1:22" ht="21" outlineLevel="2">
      <c r="A275" s="221"/>
      <c r="B275" s="221">
        <v>3</v>
      </c>
      <c r="C275" s="277" t="s">
        <v>266</v>
      </c>
      <c r="D275" s="307" t="s">
        <v>614</v>
      </c>
      <c r="E275" s="222"/>
      <c r="F275" s="306" t="s">
        <v>265</v>
      </c>
      <c r="G275" s="223">
        <v>0</v>
      </c>
      <c r="H275" s="223">
        <f t="shared" si="215"/>
        <v>0</v>
      </c>
      <c r="I275" s="223">
        <f t="shared" si="216"/>
        <v>0</v>
      </c>
      <c r="J275" s="330"/>
      <c r="K275" s="224">
        <f t="shared" ref="K275" si="218">L275+M275</f>
        <v>13.788500000000001</v>
      </c>
      <c r="L275" s="224">
        <f t="shared" si="217"/>
        <v>1.1385000000000001</v>
      </c>
      <c r="M275" s="224">
        <f t="shared" ref="M275" si="219">N275+O275+P275+Q275+S275</f>
        <v>12.65</v>
      </c>
      <c r="N275" s="282">
        <v>5.5</v>
      </c>
      <c r="O275" s="282">
        <v>6</v>
      </c>
      <c r="P275" s="282">
        <v>0</v>
      </c>
      <c r="Q275" s="282">
        <v>0</v>
      </c>
      <c r="R275" s="226">
        <v>0.1</v>
      </c>
      <c r="S275" s="227">
        <f t="shared" ref="S275" si="220">SUM(N275:Q275)*R275</f>
        <v>1.1500000000000001</v>
      </c>
      <c r="T275" s="278" t="s">
        <v>591</v>
      </c>
      <c r="U275" s="220" t="s">
        <v>592</v>
      </c>
    </row>
    <row r="276" spans="1:22" ht="31.5" outlineLevel="2">
      <c r="A276" s="221"/>
      <c r="B276" s="221">
        <v>3</v>
      </c>
      <c r="C276" s="277" t="s">
        <v>269</v>
      </c>
      <c r="D276" s="222" t="s">
        <v>2028</v>
      </c>
      <c r="E276" s="222"/>
      <c r="F276" s="306" t="s">
        <v>265</v>
      </c>
      <c r="G276" s="223">
        <v>0</v>
      </c>
      <c r="H276" s="223">
        <f t="shared" si="215"/>
        <v>0</v>
      </c>
      <c r="I276" s="223">
        <f t="shared" si="216"/>
        <v>0</v>
      </c>
      <c r="J276" s="330"/>
      <c r="K276" s="224">
        <v>18.232521999999999</v>
      </c>
      <c r="L276" s="224">
        <f t="shared" si="217"/>
        <v>1.4917517999999999</v>
      </c>
      <c r="M276" s="224">
        <v>16.575019999999999</v>
      </c>
      <c r="N276" s="282">
        <v>9</v>
      </c>
      <c r="O276" s="282">
        <v>6</v>
      </c>
      <c r="P276" s="282">
        <v>0</v>
      </c>
      <c r="Q276" s="282">
        <v>0</v>
      </c>
      <c r="R276" s="226">
        <v>0.1</v>
      </c>
      <c r="S276" s="227">
        <v>2.0990199999999999</v>
      </c>
      <c r="T276" s="278" t="s">
        <v>591</v>
      </c>
      <c r="U276" s="220" t="s">
        <v>592</v>
      </c>
      <c r="V276" s="17" t="s">
        <v>615</v>
      </c>
    </row>
    <row r="277" spans="1:22" ht="73.5" outlineLevel="1">
      <c r="A277" s="221">
        <v>11</v>
      </c>
      <c r="B277" s="221">
        <v>2</v>
      </c>
      <c r="C277" s="221" t="s">
        <v>616</v>
      </c>
      <c r="D277" s="221" t="s">
        <v>617</v>
      </c>
      <c r="E277" s="221" t="s">
        <v>596</v>
      </c>
      <c r="F277" s="221"/>
      <c r="G277" s="223">
        <v>0</v>
      </c>
      <c r="H277" s="223">
        <f t="shared" si="215"/>
        <v>0</v>
      </c>
      <c r="I277" s="223">
        <f t="shared" si="216"/>
        <v>0</v>
      </c>
      <c r="J277" s="197"/>
      <c r="K277" s="224"/>
      <c r="L277" s="224">
        <f t="shared" si="217"/>
        <v>0</v>
      </c>
      <c r="M277" s="224"/>
      <c r="N277" s="282"/>
      <c r="O277" s="282"/>
      <c r="P277" s="282"/>
      <c r="Q277" s="282"/>
      <c r="R277" s="226">
        <v>0.1</v>
      </c>
      <c r="S277" s="227"/>
      <c r="T277" s="297"/>
      <c r="U277" s="220"/>
    </row>
    <row r="278" spans="1:22" ht="315" outlineLevel="2">
      <c r="A278" s="221"/>
      <c r="B278" s="221">
        <v>3</v>
      </c>
      <c r="C278" s="267" t="s">
        <v>618</v>
      </c>
      <c r="D278" s="267" t="s">
        <v>608</v>
      </c>
      <c r="E278" s="266" t="s">
        <v>619</v>
      </c>
      <c r="F278" s="267" t="s">
        <v>172</v>
      </c>
      <c r="G278" s="223">
        <v>0</v>
      </c>
      <c r="H278" s="223">
        <f t="shared" si="215"/>
        <v>0</v>
      </c>
      <c r="I278" s="223">
        <f t="shared" si="216"/>
        <v>0</v>
      </c>
      <c r="J278" s="197"/>
      <c r="K278" s="224">
        <f t="shared" ref="K278" si="221">L278+M278</f>
        <v>27.719920648669902</v>
      </c>
      <c r="L278" s="224">
        <f t="shared" si="217"/>
        <v>2.2888007875048544</v>
      </c>
      <c r="M278" s="224">
        <f t="shared" ref="M278" si="222">N278+O278+P278+Q278+S278</f>
        <v>25.431119861165048</v>
      </c>
      <c r="N278" s="282">
        <v>14</v>
      </c>
      <c r="O278" s="282">
        <f>8.783*调差材料基价表!$E$63/1000+调差材料基价表!$E$64*0.0269</f>
        <v>7.8891998737864064</v>
      </c>
      <c r="P278" s="282">
        <v>1.23</v>
      </c>
      <c r="Q278" s="282">
        <v>0</v>
      </c>
      <c r="R278" s="226">
        <v>0.1</v>
      </c>
      <c r="S278" s="224">
        <f t="shared" ref="S278" si="223">SUM(N278:Q278)*R278</f>
        <v>2.3119199873786407</v>
      </c>
      <c r="T278" s="252" t="s">
        <v>610</v>
      </c>
      <c r="U278" s="220"/>
    </row>
    <row r="279" spans="1:22" ht="315" outlineLevel="2">
      <c r="A279" s="221"/>
      <c r="B279" s="221"/>
      <c r="C279" s="267" t="s">
        <v>432</v>
      </c>
      <c r="D279" s="267" t="s">
        <v>620</v>
      </c>
      <c r="E279" s="267" t="s">
        <v>619</v>
      </c>
      <c r="F279" s="267"/>
      <c r="G279" s="223">
        <v>0</v>
      </c>
      <c r="H279" s="223">
        <f t="shared" si="215"/>
        <v>0</v>
      </c>
      <c r="I279" s="223">
        <f t="shared" si="216"/>
        <v>0</v>
      </c>
      <c r="J279" s="197"/>
      <c r="K279" s="224">
        <f t="shared" ref="K279" si="224">L279+M279</f>
        <v>28.709531165048531</v>
      </c>
      <c r="L279" s="224">
        <f t="shared" si="217"/>
        <v>2.3705117475728144</v>
      </c>
      <c r="M279" s="224">
        <f t="shared" ref="M279" si="225">N279+O279+P279+Q279+S279</f>
        <v>26.339019417475718</v>
      </c>
      <c r="N279" s="282">
        <v>14</v>
      </c>
      <c r="O279" s="282">
        <f>0.0204*调差材料基价表!E40</f>
        <v>8.714563106796108</v>
      </c>
      <c r="P279" s="282">
        <v>1.23</v>
      </c>
      <c r="Q279" s="282">
        <v>0</v>
      </c>
      <c r="R279" s="226">
        <v>0.1</v>
      </c>
      <c r="S279" s="224">
        <f t="shared" ref="S279" si="226">SUM(N279:Q279)*R279</f>
        <v>2.3944563106796108</v>
      </c>
      <c r="T279" s="228" t="s">
        <v>253</v>
      </c>
      <c r="U279" s="220"/>
      <c r="V279" s="17" t="s">
        <v>611</v>
      </c>
    </row>
    <row r="280" spans="1:22" ht="21" outlineLevel="1">
      <c r="A280" s="221">
        <v>12</v>
      </c>
      <c r="B280" s="221">
        <v>2</v>
      </c>
      <c r="C280" s="267" t="s">
        <v>621</v>
      </c>
      <c r="D280" s="267" t="s">
        <v>622</v>
      </c>
      <c r="E280" s="267" t="s">
        <v>623</v>
      </c>
      <c r="F280" s="267" t="s">
        <v>265</v>
      </c>
      <c r="G280" s="223">
        <v>0</v>
      </c>
      <c r="H280" s="223">
        <f t="shared" si="215"/>
        <v>0</v>
      </c>
      <c r="I280" s="223">
        <f t="shared" si="216"/>
        <v>0</v>
      </c>
      <c r="J280" s="197"/>
      <c r="K280" s="224">
        <f t="shared" ref="K280" si="227">L280+M280</f>
        <v>28.008640000000007</v>
      </c>
      <c r="L280" s="224">
        <f t="shared" si="217"/>
        <v>2.3126400000000005</v>
      </c>
      <c r="M280" s="224">
        <f t="shared" ref="M280" si="228">N280+O280+P280+Q280+S280</f>
        <v>25.696000000000005</v>
      </c>
      <c r="N280" s="282">
        <v>14</v>
      </c>
      <c r="O280" s="282">
        <v>8.1300000000000008</v>
      </c>
      <c r="P280" s="282">
        <v>1.23</v>
      </c>
      <c r="Q280" s="282">
        <v>0</v>
      </c>
      <c r="R280" s="226">
        <v>0.1</v>
      </c>
      <c r="S280" s="224">
        <f t="shared" ref="S280" si="229">SUM(N280:Q280)*R280</f>
        <v>2.3360000000000003</v>
      </c>
      <c r="T280" s="297"/>
      <c r="U280" s="220"/>
    </row>
    <row r="281" spans="1:22" ht="115.5" outlineLevel="1">
      <c r="A281" s="221">
        <v>13</v>
      </c>
      <c r="B281" s="221"/>
      <c r="C281" s="220" t="s">
        <v>624</v>
      </c>
      <c r="D281" s="222" t="s">
        <v>263</v>
      </c>
      <c r="E281" s="222" t="s">
        <v>625</v>
      </c>
      <c r="F281" s="267" t="s">
        <v>265</v>
      </c>
      <c r="G281" s="223">
        <v>180</v>
      </c>
      <c r="H281" s="223"/>
      <c r="I281" s="223"/>
      <c r="J281" s="197"/>
      <c r="K281" s="224"/>
      <c r="L281" s="224"/>
      <c r="M281" s="224"/>
      <c r="N281" s="282"/>
      <c r="O281" s="282"/>
      <c r="P281" s="282"/>
      <c r="Q281" s="282"/>
      <c r="R281" s="226"/>
      <c r="S281" s="224"/>
      <c r="T281" s="297"/>
      <c r="U281" s="220"/>
    </row>
    <row r="282" spans="1:22" ht="42" outlineLevel="2">
      <c r="A282" s="221"/>
      <c r="B282" s="221"/>
      <c r="C282" s="276" t="s">
        <v>266</v>
      </c>
      <c r="D282" s="222" t="s">
        <v>2026</v>
      </c>
      <c r="E282" s="277"/>
      <c r="F282" s="306" t="s">
        <v>265</v>
      </c>
      <c r="G282" s="223">
        <v>180</v>
      </c>
      <c r="H282" s="223">
        <f t="shared" ref="H282:H284" si="230">G282*K282</f>
        <v>4989.5857167605827</v>
      </c>
      <c r="I282" s="223">
        <f t="shared" ref="I282:I284" si="231">G282*K282*(1+J282)</f>
        <v>4989.5857167605827</v>
      </c>
      <c r="J282" s="197"/>
      <c r="K282" s="224">
        <f t="shared" ref="K282:K283" si="232">L282+M282</f>
        <v>27.719920648669902</v>
      </c>
      <c r="L282" s="224">
        <f t="shared" ref="L282:L284" si="233">M282*0.09</f>
        <v>2.2888007875048544</v>
      </c>
      <c r="M282" s="224">
        <f t="shared" ref="M282:M283" si="234">N282+O282+P282+Q282+S282</f>
        <v>25.431119861165048</v>
      </c>
      <c r="N282" s="282">
        <v>14</v>
      </c>
      <c r="O282" s="282">
        <f>8.783*调差材料基价表!$E$63/1000+调差材料基价表!$E$64*0.0269</f>
        <v>7.8891998737864064</v>
      </c>
      <c r="P282" s="282">
        <v>1.23</v>
      </c>
      <c r="Q282" s="282">
        <v>0</v>
      </c>
      <c r="R282" s="226">
        <v>0.1</v>
      </c>
      <c r="S282" s="224">
        <f t="shared" ref="S282:S283" si="235">SUM(N282:Q282)*R282</f>
        <v>2.3119199873786407</v>
      </c>
      <c r="T282" s="252"/>
      <c r="U282" s="303"/>
    </row>
    <row r="283" spans="1:22" ht="21" outlineLevel="2">
      <c r="A283" s="221"/>
      <c r="B283" s="221"/>
      <c r="C283" s="277" t="s">
        <v>269</v>
      </c>
      <c r="D283" s="307" t="s">
        <v>614</v>
      </c>
      <c r="E283" s="222"/>
      <c r="F283" s="306" t="s">
        <v>265</v>
      </c>
      <c r="G283" s="223">
        <v>180</v>
      </c>
      <c r="H283" s="223">
        <f t="shared" si="230"/>
        <v>2481.9300000000003</v>
      </c>
      <c r="I283" s="223">
        <f t="shared" si="231"/>
        <v>2481.9300000000003</v>
      </c>
      <c r="J283" s="197"/>
      <c r="K283" s="224">
        <f t="shared" si="232"/>
        <v>13.788500000000001</v>
      </c>
      <c r="L283" s="224">
        <f t="shared" si="233"/>
        <v>1.1385000000000001</v>
      </c>
      <c r="M283" s="224">
        <f t="shared" si="234"/>
        <v>12.65</v>
      </c>
      <c r="N283" s="282">
        <v>5.5</v>
      </c>
      <c r="O283" s="282">
        <v>6</v>
      </c>
      <c r="P283" s="282">
        <v>0</v>
      </c>
      <c r="Q283" s="282">
        <v>0</v>
      </c>
      <c r="R283" s="226">
        <v>0.1</v>
      </c>
      <c r="S283" s="227">
        <f t="shared" si="235"/>
        <v>1.1500000000000001</v>
      </c>
      <c r="T283" s="278" t="s">
        <v>591</v>
      </c>
      <c r="U283" s="220" t="s">
        <v>592</v>
      </c>
    </row>
    <row r="284" spans="1:22" ht="42" outlineLevel="2">
      <c r="A284" s="221"/>
      <c r="B284" s="221"/>
      <c r="C284" s="220" t="s">
        <v>275</v>
      </c>
      <c r="D284" s="222" t="s">
        <v>2029</v>
      </c>
      <c r="E284" s="222"/>
      <c r="F284" s="306" t="s">
        <v>265</v>
      </c>
      <c r="G284" s="223">
        <v>180</v>
      </c>
      <c r="H284" s="223">
        <f t="shared" si="230"/>
        <v>3281.8539599999999</v>
      </c>
      <c r="I284" s="223">
        <f t="shared" si="231"/>
        <v>3281.8539599999999</v>
      </c>
      <c r="J284" s="197"/>
      <c r="K284" s="224">
        <v>18.232521999999999</v>
      </c>
      <c r="L284" s="224">
        <f t="shared" si="233"/>
        <v>1.4917517999999999</v>
      </c>
      <c r="M284" s="224">
        <v>16.575019999999999</v>
      </c>
      <c r="N284" s="282">
        <v>9</v>
      </c>
      <c r="O284" s="282">
        <v>6</v>
      </c>
      <c r="P284" s="282">
        <v>0</v>
      </c>
      <c r="Q284" s="282">
        <v>0</v>
      </c>
      <c r="R284" s="226">
        <v>0.1</v>
      </c>
      <c r="S284" s="227">
        <v>2.0990199999999999</v>
      </c>
      <c r="T284" s="278" t="s">
        <v>591</v>
      </c>
      <c r="U284" s="220" t="s">
        <v>592</v>
      </c>
    </row>
    <row r="285" spans="1:22">
      <c r="A285" s="221"/>
      <c r="B285" s="221"/>
      <c r="C285" s="308" t="s">
        <v>248</v>
      </c>
      <c r="D285" s="267"/>
      <c r="E285" s="267"/>
      <c r="F285" s="267"/>
      <c r="G285" s="223">
        <v>0</v>
      </c>
      <c r="H285" s="212">
        <f>SUM(H251:H284)</f>
        <v>213644.34599178773</v>
      </c>
      <c r="I285" s="212">
        <f>SUM(I251:I284)</f>
        <v>213644.34599178773</v>
      </c>
      <c r="J285" s="226"/>
      <c r="K285" s="224"/>
      <c r="L285" s="224">
        <f t="shared" ref="L285:L321" si="236">M285*0.09</f>
        <v>0</v>
      </c>
      <c r="M285" s="224"/>
      <c r="N285" s="282"/>
      <c r="O285" s="282"/>
      <c r="P285" s="282"/>
      <c r="Q285" s="282"/>
      <c r="R285" s="226">
        <v>0.1</v>
      </c>
      <c r="S285" s="227"/>
      <c r="T285" s="297"/>
      <c r="U285" s="220"/>
    </row>
    <row r="286" spans="1:22" ht="21">
      <c r="A286" s="209" t="s">
        <v>626</v>
      </c>
      <c r="B286" s="209">
        <v>1</v>
      </c>
      <c r="C286" s="210" t="s">
        <v>627</v>
      </c>
      <c r="D286" s="211"/>
      <c r="E286" s="211"/>
      <c r="F286" s="221"/>
      <c r="G286" s="223">
        <v>0</v>
      </c>
      <c r="H286" s="223"/>
      <c r="I286" s="223"/>
      <c r="J286" s="226"/>
      <c r="K286" s="224">
        <f t="shared" ref="K286" si="237">L286+M286</f>
        <v>0</v>
      </c>
      <c r="L286" s="224">
        <f t="shared" si="236"/>
        <v>0</v>
      </c>
      <c r="M286" s="224">
        <f t="shared" ref="M286" si="238">N286+O286+P286+Q286+S286</f>
        <v>0</v>
      </c>
      <c r="N286" s="225"/>
      <c r="O286" s="225"/>
      <c r="P286" s="225"/>
      <c r="Q286" s="225"/>
      <c r="R286" s="226">
        <v>0.1</v>
      </c>
      <c r="S286" s="227">
        <f t="shared" ref="S286" si="239">SUM(N286:Q286)*R286</f>
        <v>0</v>
      </c>
      <c r="T286" s="304"/>
      <c r="U286" s="220"/>
    </row>
    <row r="287" spans="1:22" ht="94.5" outlineLevel="1">
      <c r="A287" s="221">
        <v>1</v>
      </c>
      <c r="B287" s="221">
        <v>2</v>
      </c>
      <c r="C287" s="222" t="s">
        <v>2030</v>
      </c>
      <c r="D287" s="222" t="s">
        <v>263</v>
      </c>
      <c r="E287" s="222" t="s">
        <v>628</v>
      </c>
      <c r="F287" s="221" t="s">
        <v>265</v>
      </c>
      <c r="G287" s="223">
        <v>12434.604935360499</v>
      </c>
      <c r="H287" s="223">
        <f t="shared" ref="H287" si="240">G287*K287</f>
        <v>0</v>
      </c>
      <c r="I287" s="223">
        <f t="shared" ref="I287" si="241">G287*K287*(1+J287)</f>
        <v>0</v>
      </c>
      <c r="J287" s="197"/>
      <c r="K287" s="224"/>
      <c r="L287" s="224">
        <f t="shared" si="236"/>
        <v>0</v>
      </c>
      <c r="M287" s="224"/>
      <c r="N287" s="282"/>
      <c r="O287" s="282"/>
      <c r="P287" s="282"/>
      <c r="Q287" s="282"/>
      <c r="R287" s="226">
        <v>0.1</v>
      </c>
      <c r="S287" s="227"/>
      <c r="T287" s="297"/>
      <c r="U287" s="220"/>
    </row>
    <row r="288" spans="1:22" ht="42" outlineLevel="2">
      <c r="A288" s="221"/>
      <c r="B288" s="221">
        <v>3</v>
      </c>
      <c r="C288" s="222" t="s">
        <v>266</v>
      </c>
      <c r="D288" s="222" t="s">
        <v>2031</v>
      </c>
      <c r="E288" s="222"/>
      <c r="F288" s="221" t="s">
        <v>265</v>
      </c>
      <c r="G288" s="223">
        <v>12434</v>
      </c>
      <c r="H288" s="223">
        <f t="shared" ref="H288:H293" si="242">G288*K288</f>
        <v>141629.47699999998</v>
      </c>
      <c r="I288" s="223">
        <f t="shared" ref="I288:I293" si="243">G288*K288*(1+J288)</f>
        <v>141629.47699999998</v>
      </c>
      <c r="J288" s="197"/>
      <c r="K288" s="224">
        <f t="shared" ref="K288:K290" si="244">L288+M288</f>
        <v>11.390499999999999</v>
      </c>
      <c r="L288" s="224">
        <f t="shared" si="236"/>
        <v>0.94049999999999989</v>
      </c>
      <c r="M288" s="224">
        <f t="shared" ref="M288:M290" si="245">N288+O288+P288+Q288+S288</f>
        <v>10.45</v>
      </c>
      <c r="N288" s="282">
        <v>3.5</v>
      </c>
      <c r="O288" s="282">
        <v>6</v>
      </c>
      <c r="P288" s="282">
        <v>0</v>
      </c>
      <c r="Q288" s="282">
        <v>0</v>
      </c>
      <c r="R288" s="226">
        <v>0.1</v>
      </c>
      <c r="S288" s="224">
        <f t="shared" ref="S288:S290" si="246">SUM(N288:Q288)*R288</f>
        <v>0.95000000000000007</v>
      </c>
      <c r="T288" s="302" t="s">
        <v>591</v>
      </c>
      <c r="U288" s="303" t="s">
        <v>592</v>
      </c>
    </row>
    <row r="289" spans="1:21" ht="42" outlineLevel="2">
      <c r="A289" s="221"/>
      <c r="B289" s="221">
        <v>3</v>
      </c>
      <c r="C289" s="222" t="s">
        <v>269</v>
      </c>
      <c r="D289" s="222" t="s">
        <v>2032</v>
      </c>
      <c r="E289" s="222"/>
      <c r="F289" s="221" t="s">
        <v>265</v>
      </c>
      <c r="G289" s="223">
        <v>12434</v>
      </c>
      <c r="H289" s="223">
        <f t="shared" si="242"/>
        <v>163992.02600000001</v>
      </c>
      <c r="I289" s="223">
        <f t="shared" si="243"/>
        <v>163992.02600000001</v>
      </c>
      <c r="J289" s="197"/>
      <c r="K289" s="224">
        <f t="shared" si="244"/>
        <v>13.189</v>
      </c>
      <c r="L289" s="224">
        <f t="shared" si="236"/>
        <v>1.089</v>
      </c>
      <c r="M289" s="224">
        <f t="shared" si="245"/>
        <v>12.1</v>
      </c>
      <c r="N289" s="282">
        <v>5</v>
      </c>
      <c r="O289" s="282">
        <v>6</v>
      </c>
      <c r="P289" s="282">
        <v>0</v>
      </c>
      <c r="Q289" s="282">
        <v>0</v>
      </c>
      <c r="R289" s="226">
        <v>0.1</v>
      </c>
      <c r="S289" s="224">
        <f t="shared" si="246"/>
        <v>1.1000000000000001</v>
      </c>
      <c r="T289" s="302" t="s">
        <v>591</v>
      </c>
      <c r="U289" s="303" t="s">
        <v>592</v>
      </c>
    </row>
    <row r="290" spans="1:21" ht="52.5" outlineLevel="1">
      <c r="A290" s="221">
        <v>2</v>
      </c>
      <c r="B290" s="221">
        <v>2</v>
      </c>
      <c r="C290" s="222" t="s">
        <v>2033</v>
      </c>
      <c r="D290" s="222" t="s">
        <v>2034</v>
      </c>
      <c r="E290" s="222" t="s">
        <v>629</v>
      </c>
      <c r="F290" s="221" t="s">
        <v>265</v>
      </c>
      <c r="G290" s="223">
        <v>471.50771420067503</v>
      </c>
      <c r="H290" s="223">
        <f t="shared" si="242"/>
        <v>6782.639647545996</v>
      </c>
      <c r="I290" s="223">
        <f t="shared" si="243"/>
        <v>6782.639647545996</v>
      </c>
      <c r="J290" s="197"/>
      <c r="K290" s="224">
        <f t="shared" si="244"/>
        <v>14.385002500000001</v>
      </c>
      <c r="L290" s="224">
        <f t="shared" si="236"/>
        <v>1.1877525</v>
      </c>
      <c r="M290" s="224">
        <f t="shared" si="245"/>
        <v>13.19725</v>
      </c>
      <c r="N290" s="282">
        <v>5.5</v>
      </c>
      <c r="O290" s="282">
        <v>6</v>
      </c>
      <c r="P290" s="282">
        <v>0.14924999999999999</v>
      </c>
      <c r="Q290" s="282">
        <v>0.34825</v>
      </c>
      <c r="R290" s="226">
        <v>0.1</v>
      </c>
      <c r="S290" s="224">
        <f t="shared" si="246"/>
        <v>1.1997500000000001</v>
      </c>
      <c r="T290" s="302" t="s">
        <v>591</v>
      </c>
      <c r="U290" s="303" t="s">
        <v>592</v>
      </c>
    </row>
    <row r="291" spans="1:21" ht="52.5" outlineLevel="1">
      <c r="A291" s="221">
        <v>3</v>
      </c>
      <c r="B291" s="221">
        <v>2</v>
      </c>
      <c r="C291" s="222" t="s">
        <v>2035</v>
      </c>
      <c r="D291" s="222" t="s">
        <v>263</v>
      </c>
      <c r="E291" s="222" t="s">
        <v>629</v>
      </c>
      <c r="F291" s="221"/>
      <c r="G291" s="223">
        <v>130.2473299417</v>
      </c>
      <c r="H291" s="223">
        <f t="shared" si="242"/>
        <v>0</v>
      </c>
      <c r="I291" s="223">
        <f t="shared" si="243"/>
        <v>0</v>
      </c>
      <c r="J291" s="197"/>
      <c r="K291" s="224"/>
      <c r="L291" s="224"/>
      <c r="M291" s="224"/>
      <c r="N291" s="282"/>
      <c r="O291" s="282"/>
      <c r="P291" s="282"/>
      <c r="Q291" s="282"/>
      <c r="R291" s="226"/>
      <c r="S291" s="227"/>
      <c r="T291" s="297"/>
      <c r="U291" s="220"/>
    </row>
    <row r="292" spans="1:21" ht="42" outlineLevel="2">
      <c r="A292" s="221"/>
      <c r="B292" s="221">
        <v>3</v>
      </c>
      <c r="C292" s="222" t="s">
        <v>266</v>
      </c>
      <c r="D292" s="222" t="s">
        <v>2036</v>
      </c>
      <c r="E292" s="222"/>
      <c r="F292" s="221" t="s">
        <v>265</v>
      </c>
      <c r="G292" s="223">
        <v>130.25</v>
      </c>
      <c r="H292" s="223">
        <f t="shared" si="242"/>
        <v>2342.5462499999999</v>
      </c>
      <c r="I292" s="223">
        <f t="shared" si="243"/>
        <v>2342.5462499999999</v>
      </c>
      <c r="J292" s="197"/>
      <c r="K292" s="224">
        <f>L292+M292</f>
        <v>17.984999999999999</v>
      </c>
      <c r="L292" s="224">
        <f t="shared" si="236"/>
        <v>1.4849999999999999</v>
      </c>
      <c r="M292" s="224">
        <f>N292+O292+P292+Q292+S292</f>
        <v>16.5</v>
      </c>
      <c r="N292" s="282">
        <v>9</v>
      </c>
      <c r="O292" s="282">
        <v>6</v>
      </c>
      <c r="P292" s="282">
        <v>0</v>
      </c>
      <c r="Q292" s="282">
        <v>0</v>
      </c>
      <c r="R292" s="226">
        <v>0.1</v>
      </c>
      <c r="S292" s="227">
        <f>SUM(N292:Q292)*R292</f>
        <v>1.5</v>
      </c>
      <c r="T292" s="302" t="s">
        <v>591</v>
      </c>
      <c r="U292" s="303" t="s">
        <v>592</v>
      </c>
    </row>
    <row r="293" spans="1:21" ht="42" outlineLevel="2">
      <c r="A293" s="221"/>
      <c r="B293" s="221">
        <v>3</v>
      </c>
      <c r="C293" s="222" t="s">
        <v>269</v>
      </c>
      <c r="D293" s="222" t="s">
        <v>2034</v>
      </c>
      <c r="E293" s="222"/>
      <c r="F293" s="221" t="s">
        <v>265</v>
      </c>
      <c r="G293" s="223">
        <v>130.25</v>
      </c>
      <c r="H293" s="223">
        <f t="shared" si="242"/>
        <v>1717.86725</v>
      </c>
      <c r="I293" s="223">
        <f t="shared" si="243"/>
        <v>1717.86725</v>
      </c>
      <c r="J293" s="197"/>
      <c r="K293" s="224">
        <f>L293+M293</f>
        <v>13.189</v>
      </c>
      <c r="L293" s="224">
        <f t="shared" si="236"/>
        <v>1.089</v>
      </c>
      <c r="M293" s="224">
        <f>N293+O293+P293+Q293+S293</f>
        <v>12.1</v>
      </c>
      <c r="N293" s="282">
        <v>5</v>
      </c>
      <c r="O293" s="282">
        <v>6</v>
      </c>
      <c r="P293" s="282">
        <v>0</v>
      </c>
      <c r="Q293" s="282">
        <v>0</v>
      </c>
      <c r="R293" s="226">
        <v>0.1</v>
      </c>
      <c r="S293" s="224">
        <f>SUM(N293:Q293)*R293</f>
        <v>1.1000000000000001</v>
      </c>
      <c r="T293" s="302" t="s">
        <v>591</v>
      </c>
      <c r="U293" s="303" t="s">
        <v>592</v>
      </c>
    </row>
    <row r="294" spans="1:21">
      <c r="A294" s="221"/>
      <c r="B294" s="221"/>
      <c r="C294" s="211" t="s">
        <v>248</v>
      </c>
      <c r="D294" s="222"/>
      <c r="E294" s="222"/>
      <c r="F294" s="221"/>
      <c r="G294" s="223">
        <v>0</v>
      </c>
      <c r="H294" s="212">
        <f>SUM(H287:H293)</f>
        <v>316464.55614754604</v>
      </c>
      <c r="I294" s="212">
        <f>SUM(I287:I293)</f>
        <v>316464.55614754604</v>
      </c>
      <c r="J294" s="226"/>
      <c r="K294" s="224">
        <f t="shared" ref="K294" si="247">L294+M294</f>
        <v>0</v>
      </c>
      <c r="L294" s="224">
        <f t="shared" si="236"/>
        <v>0</v>
      </c>
      <c r="M294" s="224">
        <f t="shared" ref="M294" si="248">N294+O294+P294+Q294+S294</f>
        <v>0</v>
      </c>
      <c r="N294" s="282"/>
      <c r="O294" s="282"/>
      <c r="P294" s="282"/>
      <c r="Q294" s="282"/>
      <c r="R294" s="226">
        <v>0.1</v>
      </c>
      <c r="S294" s="224"/>
      <c r="T294" s="304"/>
      <c r="U294" s="220"/>
    </row>
    <row r="295" spans="1:21" ht="21">
      <c r="A295" s="209" t="s">
        <v>630</v>
      </c>
      <c r="B295" s="209">
        <v>1</v>
      </c>
      <c r="C295" s="210" t="s">
        <v>631</v>
      </c>
      <c r="D295" s="211"/>
      <c r="E295" s="211"/>
      <c r="F295" s="221"/>
      <c r="G295" s="223">
        <v>0</v>
      </c>
      <c r="H295" s="223"/>
      <c r="I295" s="223"/>
      <c r="J295" s="226"/>
      <c r="K295" s="224">
        <f t="shared" ref="K295" si="249">L295+M295</f>
        <v>0</v>
      </c>
      <c r="L295" s="224">
        <f t="shared" si="236"/>
        <v>0</v>
      </c>
      <c r="M295" s="224">
        <f t="shared" ref="M295" si="250">N295+O295+P295+Q295+S295</f>
        <v>0</v>
      </c>
      <c r="N295" s="225"/>
      <c r="O295" s="225"/>
      <c r="P295" s="225"/>
      <c r="Q295" s="225"/>
      <c r="R295" s="226">
        <v>0.1</v>
      </c>
      <c r="S295" s="227">
        <f t="shared" ref="S295" si="251">SUM(N295:Q295)*R295</f>
        <v>0</v>
      </c>
      <c r="T295" s="301"/>
      <c r="U295" s="220"/>
    </row>
    <row r="296" spans="1:21" ht="63" outlineLevel="1">
      <c r="A296" s="221">
        <v>1</v>
      </c>
      <c r="B296" s="221">
        <v>2</v>
      </c>
      <c r="C296" s="220" t="s">
        <v>632</v>
      </c>
      <c r="D296" s="222" t="s">
        <v>633</v>
      </c>
      <c r="E296" s="222" t="s">
        <v>553</v>
      </c>
      <c r="F296" s="221" t="s">
        <v>265</v>
      </c>
      <c r="G296" s="223">
        <v>0</v>
      </c>
      <c r="H296" s="223">
        <f t="shared" ref="H296" si="252">G296*K296</f>
        <v>0</v>
      </c>
      <c r="I296" s="223">
        <f t="shared" ref="I296" si="253">G296*K296*(1+J296)</f>
        <v>0</v>
      </c>
      <c r="J296" s="197"/>
      <c r="K296" s="224">
        <f t="shared" ref="K296:K321" si="254">L296+M296</f>
        <v>24.550723999999999</v>
      </c>
      <c r="L296" s="224">
        <f t="shared" si="236"/>
        <v>2.0271239999999997</v>
      </c>
      <c r="M296" s="224">
        <f t="shared" ref="M296:M321" si="255">N296+O296+P296+Q296+S296</f>
        <v>22.523599999999998</v>
      </c>
      <c r="N296" s="224">
        <v>17</v>
      </c>
      <c r="O296" s="224">
        <v>3.476</v>
      </c>
      <c r="P296" s="224">
        <v>0</v>
      </c>
      <c r="Q296" s="224">
        <v>0</v>
      </c>
      <c r="R296" s="226">
        <v>0.1</v>
      </c>
      <c r="S296" s="227">
        <f t="shared" ref="S296:S321" si="256">SUM(N296:Q296)*R296</f>
        <v>2.0476000000000001</v>
      </c>
      <c r="T296" s="228"/>
      <c r="U296" s="220"/>
    </row>
    <row r="297" spans="1:21" ht="52.5" outlineLevel="1">
      <c r="A297" s="221">
        <v>2</v>
      </c>
      <c r="B297" s="221">
        <v>2</v>
      </c>
      <c r="C297" s="220" t="s">
        <v>634</v>
      </c>
      <c r="D297" s="222" t="s">
        <v>635</v>
      </c>
      <c r="E297" s="222" t="s">
        <v>553</v>
      </c>
      <c r="F297" s="221" t="s">
        <v>265</v>
      </c>
      <c r="G297" s="223">
        <v>0</v>
      </c>
      <c r="H297" s="223">
        <f t="shared" ref="H297:H302" si="257">G297*K297</f>
        <v>0</v>
      </c>
      <c r="I297" s="223">
        <f t="shared" ref="I297:I302" si="258">G297*K297*(1+J297)</f>
        <v>0</v>
      </c>
      <c r="J297" s="197"/>
      <c r="K297" s="224">
        <f t="shared" si="254"/>
        <v>24.550723999999999</v>
      </c>
      <c r="L297" s="224">
        <f t="shared" si="236"/>
        <v>2.0271239999999997</v>
      </c>
      <c r="M297" s="224">
        <f t="shared" si="255"/>
        <v>22.523599999999998</v>
      </c>
      <c r="N297" s="224">
        <v>17</v>
      </c>
      <c r="O297" s="224">
        <v>3.476</v>
      </c>
      <c r="P297" s="224">
        <v>0</v>
      </c>
      <c r="Q297" s="224">
        <v>0</v>
      </c>
      <c r="R297" s="226">
        <v>0.1</v>
      </c>
      <c r="S297" s="227">
        <f t="shared" si="256"/>
        <v>2.0476000000000001</v>
      </c>
      <c r="T297" s="228"/>
      <c r="U297" s="220"/>
    </row>
    <row r="298" spans="1:21" ht="42" outlineLevel="1">
      <c r="A298" s="221">
        <v>3</v>
      </c>
      <c r="B298" s="221">
        <v>2</v>
      </c>
      <c r="C298" s="220" t="s">
        <v>636</v>
      </c>
      <c r="D298" s="222" t="s">
        <v>637</v>
      </c>
      <c r="E298" s="222" t="s">
        <v>638</v>
      </c>
      <c r="F298" s="221" t="s">
        <v>265</v>
      </c>
      <c r="G298" s="223">
        <v>0</v>
      </c>
      <c r="H298" s="223">
        <f t="shared" si="257"/>
        <v>0</v>
      </c>
      <c r="I298" s="223">
        <f t="shared" si="258"/>
        <v>0</v>
      </c>
      <c r="J298" s="197"/>
      <c r="K298" s="224">
        <f t="shared" si="254"/>
        <v>18.428629999999998</v>
      </c>
      <c r="L298" s="224">
        <f t="shared" si="236"/>
        <v>1.52163</v>
      </c>
      <c r="M298" s="224">
        <f t="shared" si="255"/>
        <v>16.907</v>
      </c>
      <c r="N298" s="224">
        <v>12</v>
      </c>
      <c r="O298" s="224">
        <v>3.37</v>
      </c>
      <c r="P298" s="224">
        <v>0</v>
      </c>
      <c r="Q298" s="224">
        <v>0</v>
      </c>
      <c r="R298" s="226">
        <v>0.1</v>
      </c>
      <c r="S298" s="227">
        <f t="shared" si="256"/>
        <v>1.5370000000000001</v>
      </c>
      <c r="T298" s="228"/>
      <c r="U298" s="220"/>
    </row>
    <row r="299" spans="1:21" ht="42" outlineLevel="1">
      <c r="A299" s="221">
        <v>4</v>
      </c>
      <c r="B299" s="221">
        <v>2</v>
      </c>
      <c r="C299" s="220" t="s">
        <v>639</v>
      </c>
      <c r="D299" s="222" t="s">
        <v>640</v>
      </c>
      <c r="E299" s="222" t="s">
        <v>641</v>
      </c>
      <c r="F299" s="221" t="s">
        <v>265</v>
      </c>
      <c r="G299" s="223">
        <v>0</v>
      </c>
      <c r="H299" s="223">
        <f t="shared" si="257"/>
        <v>0</v>
      </c>
      <c r="I299" s="223">
        <f t="shared" si="258"/>
        <v>0</v>
      </c>
      <c r="J299" s="197"/>
      <c r="K299" s="224">
        <f t="shared" si="254"/>
        <v>23.812139999999999</v>
      </c>
      <c r="L299" s="224">
        <f t="shared" si="236"/>
        <v>1.96614</v>
      </c>
      <c r="M299" s="224">
        <f t="shared" si="255"/>
        <v>21.846</v>
      </c>
      <c r="N299" s="224">
        <v>15</v>
      </c>
      <c r="O299" s="224">
        <v>4.8600000000000003</v>
      </c>
      <c r="P299" s="224">
        <v>0</v>
      </c>
      <c r="Q299" s="224">
        <v>0</v>
      </c>
      <c r="R299" s="226">
        <v>0.1</v>
      </c>
      <c r="S299" s="227">
        <f t="shared" si="256"/>
        <v>1.986</v>
      </c>
      <c r="T299" s="228"/>
      <c r="U299" s="220"/>
    </row>
    <row r="300" spans="1:21" ht="21" outlineLevel="1">
      <c r="A300" s="221">
        <v>5</v>
      </c>
      <c r="B300" s="221">
        <v>2</v>
      </c>
      <c r="C300" s="220" t="s">
        <v>642</v>
      </c>
      <c r="D300" s="222"/>
      <c r="E300" s="222"/>
      <c r="F300" s="221" t="s">
        <v>265</v>
      </c>
      <c r="G300" s="223">
        <v>0</v>
      </c>
      <c r="H300" s="223">
        <f t="shared" si="257"/>
        <v>0</v>
      </c>
      <c r="I300" s="223">
        <f t="shared" si="258"/>
        <v>0</v>
      </c>
      <c r="J300" s="197"/>
      <c r="K300" s="224">
        <f t="shared" si="254"/>
        <v>11.99</v>
      </c>
      <c r="L300" s="224">
        <f t="shared" si="236"/>
        <v>0.99</v>
      </c>
      <c r="M300" s="224">
        <f t="shared" si="255"/>
        <v>11</v>
      </c>
      <c r="N300" s="225">
        <v>5</v>
      </c>
      <c r="O300" s="225">
        <v>5</v>
      </c>
      <c r="P300" s="225">
        <v>0</v>
      </c>
      <c r="Q300" s="225">
        <v>0</v>
      </c>
      <c r="R300" s="226">
        <v>0.1</v>
      </c>
      <c r="S300" s="227">
        <f t="shared" si="256"/>
        <v>1</v>
      </c>
      <c r="T300" s="219"/>
      <c r="U300" s="248"/>
    </row>
    <row r="301" spans="1:21" ht="21" outlineLevel="1">
      <c r="A301" s="221">
        <v>6</v>
      </c>
      <c r="B301" s="221">
        <v>2</v>
      </c>
      <c r="C301" s="220" t="s">
        <v>643</v>
      </c>
      <c r="D301" s="222"/>
      <c r="E301" s="222"/>
      <c r="F301" s="221" t="s">
        <v>265</v>
      </c>
      <c r="G301" s="223">
        <v>0</v>
      </c>
      <c r="H301" s="223">
        <f t="shared" si="257"/>
        <v>0</v>
      </c>
      <c r="I301" s="223">
        <f t="shared" si="258"/>
        <v>0</v>
      </c>
      <c r="J301" s="197"/>
      <c r="K301" s="224">
        <f t="shared" si="254"/>
        <v>14.385002500000001</v>
      </c>
      <c r="L301" s="224">
        <f t="shared" si="236"/>
        <v>1.1877525</v>
      </c>
      <c r="M301" s="224">
        <f t="shared" si="255"/>
        <v>13.19725</v>
      </c>
      <c r="N301" s="282">
        <v>5.5</v>
      </c>
      <c r="O301" s="282">
        <v>6</v>
      </c>
      <c r="P301" s="282">
        <v>0.14924999999999999</v>
      </c>
      <c r="Q301" s="282">
        <v>0.34825</v>
      </c>
      <c r="R301" s="226">
        <v>0.1</v>
      </c>
      <c r="S301" s="224">
        <f t="shared" si="256"/>
        <v>1.1997500000000001</v>
      </c>
      <c r="T301" s="304"/>
      <c r="U301" s="303" t="s">
        <v>592</v>
      </c>
    </row>
    <row r="302" spans="1:21" ht="21" outlineLevel="1">
      <c r="A302" s="221">
        <v>7</v>
      </c>
      <c r="B302" s="221">
        <v>2</v>
      </c>
      <c r="C302" s="220" t="s">
        <v>644</v>
      </c>
      <c r="D302" s="222"/>
      <c r="E302" s="222"/>
      <c r="F302" s="221" t="s">
        <v>265</v>
      </c>
      <c r="G302" s="223">
        <v>0</v>
      </c>
      <c r="H302" s="223">
        <f t="shared" si="257"/>
        <v>0</v>
      </c>
      <c r="I302" s="223">
        <f t="shared" si="258"/>
        <v>0</v>
      </c>
      <c r="J302" s="197"/>
      <c r="K302" s="224">
        <f t="shared" si="254"/>
        <v>14.385002500000001</v>
      </c>
      <c r="L302" s="224">
        <f t="shared" si="236"/>
        <v>1.1877525</v>
      </c>
      <c r="M302" s="224">
        <f t="shared" si="255"/>
        <v>13.19725</v>
      </c>
      <c r="N302" s="282">
        <v>5.5</v>
      </c>
      <c r="O302" s="282">
        <v>6</v>
      </c>
      <c r="P302" s="282">
        <v>0.14924999999999999</v>
      </c>
      <c r="Q302" s="282">
        <v>0.34825</v>
      </c>
      <c r="R302" s="226">
        <v>0.1</v>
      </c>
      <c r="S302" s="224">
        <f t="shared" si="256"/>
        <v>1.1997500000000001</v>
      </c>
      <c r="T302" s="304"/>
      <c r="U302" s="303" t="s">
        <v>592</v>
      </c>
    </row>
    <row r="303" spans="1:21">
      <c r="A303" s="221"/>
      <c r="B303" s="221"/>
      <c r="C303" s="210" t="s">
        <v>248</v>
      </c>
      <c r="D303" s="222"/>
      <c r="E303" s="222"/>
      <c r="F303" s="221"/>
      <c r="G303" s="223">
        <v>0</v>
      </c>
      <c r="H303" s="212">
        <f>SUM(H296:H302)</f>
        <v>0</v>
      </c>
      <c r="I303" s="212">
        <f>SUM(I296:I302)</f>
        <v>0</v>
      </c>
      <c r="J303" s="226"/>
      <c r="K303" s="224">
        <f t="shared" si="254"/>
        <v>0</v>
      </c>
      <c r="L303" s="224">
        <f t="shared" si="236"/>
        <v>0</v>
      </c>
      <c r="M303" s="224">
        <f t="shared" si="255"/>
        <v>0</v>
      </c>
      <c r="N303" s="225"/>
      <c r="O303" s="225"/>
      <c r="P303" s="225"/>
      <c r="Q303" s="225"/>
      <c r="R303" s="226">
        <v>0.1</v>
      </c>
      <c r="S303" s="227">
        <f t="shared" si="256"/>
        <v>0</v>
      </c>
      <c r="T303" s="219"/>
      <c r="U303" s="248"/>
    </row>
    <row r="304" spans="1:21" ht="21">
      <c r="A304" s="209" t="s">
        <v>645</v>
      </c>
      <c r="B304" s="209">
        <v>1</v>
      </c>
      <c r="C304" s="210" t="s">
        <v>646</v>
      </c>
      <c r="D304" s="211"/>
      <c r="E304" s="211"/>
      <c r="F304" s="221"/>
      <c r="G304" s="223">
        <v>0</v>
      </c>
      <c r="H304" s="223"/>
      <c r="I304" s="223"/>
      <c r="J304" s="226"/>
      <c r="K304" s="224">
        <f t="shared" si="254"/>
        <v>0</v>
      </c>
      <c r="L304" s="224">
        <f t="shared" si="236"/>
        <v>0</v>
      </c>
      <c r="M304" s="224">
        <f t="shared" si="255"/>
        <v>0</v>
      </c>
      <c r="N304" s="225"/>
      <c r="O304" s="225"/>
      <c r="P304" s="225"/>
      <c r="Q304" s="225"/>
      <c r="R304" s="226">
        <v>0.1</v>
      </c>
      <c r="S304" s="227">
        <f t="shared" si="256"/>
        <v>0</v>
      </c>
      <c r="T304" s="238"/>
      <c r="U304" s="220"/>
    </row>
    <row r="305" spans="1:21" ht="31.5" outlineLevel="1">
      <c r="A305" s="221">
        <v>1</v>
      </c>
      <c r="B305" s="292">
        <v>2</v>
      </c>
      <c r="C305" s="222" t="s">
        <v>647</v>
      </c>
      <c r="D305" s="222" t="s">
        <v>648</v>
      </c>
      <c r="E305" s="220" t="s">
        <v>649</v>
      </c>
      <c r="F305" s="221" t="s">
        <v>312</v>
      </c>
      <c r="G305" s="223">
        <v>0</v>
      </c>
      <c r="H305" s="221">
        <f t="shared" ref="H305" si="259">G305*K305</f>
        <v>0</v>
      </c>
      <c r="I305" s="221">
        <f>G305*K305*(1+J305)</f>
        <v>0</v>
      </c>
      <c r="J305" s="197"/>
      <c r="K305" s="224">
        <f t="shared" si="254"/>
        <v>8.8726000000000003</v>
      </c>
      <c r="L305" s="224">
        <f t="shared" si="236"/>
        <v>0.73260000000000003</v>
      </c>
      <c r="M305" s="224">
        <f t="shared" si="255"/>
        <v>8.14</v>
      </c>
      <c r="N305" s="225">
        <v>1.5</v>
      </c>
      <c r="O305" s="225">
        <v>5.9</v>
      </c>
      <c r="P305" s="225">
        <v>0</v>
      </c>
      <c r="Q305" s="225">
        <v>0</v>
      </c>
      <c r="R305" s="226">
        <v>0.1</v>
      </c>
      <c r="S305" s="227">
        <f t="shared" si="256"/>
        <v>0.7400000000000001</v>
      </c>
      <c r="T305" s="219"/>
      <c r="U305" s="248"/>
    </row>
    <row r="306" spans="1:21" ht="84" outlineLevel="1">
      <c r="A306" s="221">
        <v>2</v>
      </c>
      <c r="B306" s="221">
        <v>2</v>
      </c>
      <c r="C306" s="277" t="s">
        <v>650</v>
      </c>
      <c r="D306" s="309" t="s">
        <v>651</v>
      </c>
      <c r="E306" s="277" t="s">
        <v>652</v>
      </c>
      <c r="F306" s="310" t="s">
        <v>524</v>
      </c>
      <c r="G306" s="223">
        <v>0</v>
      </c>
      <c r="H306" s="221">
        <f t="shared" ref="H306:H321" si="260">G306*K306</f>
        <v>0</v>
      </c>
      <c r="I306" s="221">
        <f t="shared" ref="I306:I321" si="261">G306*K306*(1+J306)</f>
        <v>0</v>
      </c>
      <c r="J306" s="197"/>
      <c r="K306" s="224">
        <f t="shared" ref="K306:K307" si="262">L306+M306</f>
        <v>120.227</v>
      </c>
      <c r="L306" s="224">
        <f t="shared" si="236"/>
        <v>9.9269999999999996</v>
      </c>
      <c r="M306" s="224">
        <f t="shared" ref="M306:M307" si="263">N306+O306+P306+Q306+S306</f>
        <v>110.3</v>
      </c>
      <c r="N306" s="225">
        <v>23</v>
      </c>
      <c r="O306" s="225">
        <f>85/1.1</f>
        <v>77.272727272727266</v>
      </c>
      <c r="P306" s="225">
        <v>0</v>
      </c>
      <c r="Q306" s="225">
        <v>0</v>
      </c>
      <c r="R306" s="226">
        <v>0.1</v>
      </c>
      <c r="S306" s="227">
        <f t="shared" ref="S306:S307" si="264">SUM(N306:Q306)*R306</f>
        <v>10.027272727272727</v>
      </c>
      <c r="T306" s="238"/>
      <c r="U306" s="220"/>
    </row>
    <row r="307" spans="1:21" ht="84" outlineLevel="1">
      <c r="A307" s="221">
        <v>3</v>
      </c>
      <c r="B307" s="221">
        <v>2</v>
      </c>
      <c r="C307" s="277" t="s">
        <v>653</v>
      </c>
      <c r="D307" s="309" t="s">
        <v>651</v>
      </c>
      <c r="E307" s="277" t="s">
        <v>652</v>
      </c>
      <c r="F307" s="310" t="s">
        <v>524</v>
      </c>
      <c r="G307" s="223">
        <v>0</v>
      </c>
      <c r="H307" s="221">
        <f t="shared" si="260"/>
        <v>0</v>
      </c>
      <c r="I307" s="221">
        <f t="shared" si="261"/>
        <v>0</v>
      </c>
      <c r="J307" s="197"/>
      <c r="K307" s="224">
        <f t="shared" si="262"/>
        <v>136.577</v>
      </c>
      <c r="L307" s="224">
        <f t="shared" si="236"/>
        <v>11.276999999999999</v>
      </c>
      <c r="M307" s="224">
        <f t="shared" si="263"/>
        <v>125.3</v>
      </c>
      <c r="N307" s="225">
        <v>23</v>
      </c>
      <c r="O307" s="225">
        <f>100/1.1</f>
        <v>90.909090909090907</v>
      </c>
      <c r="P307" s="225">
        <v>0</v>
      </c>
      <c r="Q307" s="225">
        <v>0</v>
      </c>
      <c r="R307" s="226">
        <v>0.1</v>
      </c>
      <c r="S307" s="227">
        <f t="shared" si="264"/>
        <v>11.390909090909091</v>
      </c>
      <c r="T307" s="238"/>
      <c r="U307" s="220"/>
    </row>
    <row r="308" spans="1:21" ht="84" outlineLevel="1">
      <c r="A308" s="221">
        <v>4</v>
      </c>
      <c r="B308" s="221">
        <v>2</v>
      </c>
      <c r="C308" s="277" t="s">
        <v>654</v>
      </c>
      <c r="D308" s="309" t="s">
        <v>651</v>
      </c>
      <c r="E308" s="277" t="s">
        <v>652</v>
      </c>
      <c r="F308" s="311" t="s">
        <v>212</v>
      </c>
      <c r="G308" s="223">
        <v>912.86775914634097</v>
      </c>
      <c r="H308" s="221">
        <f t="shared" si="260"/>
        <v>149552.38637766757</v>
      </c>
      <c r="I308" s="221">
        <f t="shared" si="261"/>
        <v>149552.38637766757</v>
      </c>
      <c r="J308" s="197"/>
      <c r="K308" s="224">
        <f t="shared" si="254"/>
        <v>163.82699999999997</v>
      </c>
      <c r="L308" s="224">
        <f t="shared" si="236"/>
        <v>13.526999999999997</v>
      </c>
      <c r="M308" s="224">
        <f t="shared" si="255"/>
        <v>150.29999999999998</v>
      </c>
      <c r="N308" s="225">
        <v>23</v>
      </c>
      <c r="O308" s="225">
        <f>125/1.1</f>
        <v>113.63636363636363</v>
      </c>
      <c r="P308" s="225">
        <v>0</v>
      </c>
      <c r="Q308" s="225">
        <v>0</v>
      </c>
      <c r="R308" s="226">
        <v>0.1</v>
      </c>
      <c r="S308" s="227">
        <f t="shared" si="256"/>
        <v>13.663636363636364</v>
      </c>
      <c r="T308" s="238"/>
      <c r="U308" s="220"/>
    </row>
    <row r="309" spans="1:21" ht="84" outlineLevel="1">
      <c r="A309" s="221">
        <v>5</v>
      </c>
      <c r="B309" s="221">
        <v>2</v>
      </c>
      <c r="C309" s="277" t="s">
        <v>655</v>
      </c>
      <c r="D309" s="309" t="s">
        <v>651</v>
      </c>
      <c r="E309" s="277" t="s">
        <v>652</v>
      </c>
      <c r="F309" s="311" t="s">
        <v>212</v>
      </c>
      <c r="G309" s="223">
        <v>0</v>
      </c>
      <c r="H309" s="221">
        <f t="shared" si="260"/>
        <v>0</v>
      </c>
      <c r="I309" s="221">
        <f t="shared" si="261"/>
        <v>0</v>
      </c>
      <c r="J309" s="197"/>
      <c r="K309" s="224">
        <f t="shared" si="254"/>
        <v>147.47699999999998</v>
      </c>
      <c r="L309" s="224">
        <f t="shared" si="236"/>
        <v>12.176999999999998</v>
      </c>
      <c r="M309" s="224">
        <f t="shared" si="255"/>
        <v>135.29999999999998</v>
      </c>
      <c r="N309" s="225">
        <v>23</v>
      </c>
      <c r="O309" s="225">
        <f>110/1.1</f>
        <v>99.999999999999986</v>
      </c>
      <c r="P309" s="225">
        <v>0</v>
      </c>
      <c r="Q309" s="225">
        <v>0</v>
      </c>
      <c r="R309" s="226">
        <v>0.1</v>
      </c>
      <c r="S309" s="227">
        <f t="shared" si="256"/>
        <v>12.299999999999999</v>
      </c>
      <c r="T309" s="238"/>
      <c r="U309" s="220"/>
    </row>
    <row r="310" spans="1:21" ht="84" outlineLevel="1">
      <c r="A310" s="221">
        <v>6</v>
      </c>
      <c r="B310" s="221">
        <v>2</v>
      </c>
      <c r="C310" s="277" t="s">
        <v>656</v>
      </c>
      <c r="D310" s="309" t="s">
        <v>651</v>
      </c>
      <c r="E310" s="277" t="s">
        <v>652</v>
      </c>
      <c r="F310" s="311" t="s">
        <v>212</v>
      </c>
      <c r="G310" s="223">
        <v>0</v>
      </c>
      <c r="H310" s="221">
        <f t="shared" si="260"/>
        <v>0</v>
      </c>
      <c r="I310" s="221">
        <f t="shared" si="261"/>
        <v>0</v>
      </c>
      <c r="J310" s="197"/>
      <c r="K310" s="224">
        <f t="shared" si="254"/>
        <v>158.37699999999998</v>
      </c>
      <c r="L310" s="224">
        <f t="shared" si="236"/>
        <v>13.076999999999998</v>
      </c>
      <c r="M310" s="224">
        <f t="shared" si="255"/>
        <v>145.29999999999998</v>
      </c>
      <c r="N310" s="225">
        <v>23</v>
      </c>
      <c r="O310" s="225">
        <f>120/1.1</f>
        <v>109.09090909090908</v>
      </c>
      <c r="P310" s="225">
        <v>0</v>
      </c>
      <c r="Q310" s="225">
        <v>0</v>
      </c>
      <c r="R310" s="226">
        <v>0.1</v>
      </c>
      <c r="S310" s="227">
        <f t="shared" si="256"/>
        <v>13.209090909090907</v>
      </c>
      <c r="T310" s="238"/>
      <c r="U310" s="220"/>
    </row>
    <row r="311" spans="1:21" ht="21" outlineLevel="1">
      <c r="A311" s="221">
        <v>7</v>
      </c>
      <c r="B311" s="221">
        <v>2</v>
      </c>
      <c r="C311" s="277" t="s">
        <v>657</v>
      </c>
      <c r="D311" s="277"/>
      <c r="E311" s="277"/>
      <c r="F311" s="311" t="s">
        <v>524</v>
      </c>
      <c r="G311" s="223">
        <v>304.28925304877998</v>
      </c>
      <c r="H311" s="221">
        <f t="shared" si="260"/>
        <v>2404.3141469321604</v>
      </c>
      <c r="I311" s="221">
        <f t="shared" si="261"/>
        <v>2404.3141469321604</v>
      </c>
      <c r="J311" s="197"/>
      <c r="K311" s="224">
        <f t="shared" si="254"/>
        <v>7.9014099999999994</v>
      </c>
      <c r="L311" s="224">
        <f t="shared" si="236"/>
        <v>0.65240999999999993</v>
      </c>
      <c r="M311" s="224">
        <f t="shared" si="255"/>
        <v>7.2489999999999997</v>
      </c>
      <c r="N311" s="225">
        <v>1.5</v>
      </c>
      <c r="O311" s="225">
        <v>5.09</v>
      </c>
      <c r="P311" s="225">
        <v>0</v>
      </c>
      <c r="Q311" s="225">
        <v>0</v>
      </c>
      <c r="R311" s="226">
        <v>0.1</v>
      </c>
      <c r="S311" s="227">
        <f t="shared" si="256"/>
        <v>0.65900000000000003</v>
      </c>
      <c r="T311" s="238"/>
      <c r="U311" s="220"/>
    </row>
    <row r="312" spans="1:21" ht="52.5" outlineLevel="1">
      <c r="A312" s="221">
        <v>8</v>
      </c>
      <c r="B312" s="221">
        <v>2</v>
      </c>
      <c r="C312" s="222" t="s">
        <v>658</v>
      </c>
      <c r="D312" s="222" t="s">
        <v>659</v>
      </c>
      <c r="E312" s="222" t="s">
        <v>660</v>
      </c>
      <c r="F312" s="221" t="s">
        <v>524</v>
      </c>
      <c r="G312" s="223">
        <v>0</v>
      </c>
      <c r="H312" s="221">
        <f t="shared" si="260"/>
        <v>0</v>
      </c>
      <c r="I312" s="221">
        <f t="shared" si="261"/>
        <v>0</v>
      </c>
      <c r="J312" s="197"/>
      <c r="K312" s="224">
        <f t="shared" si="254"/>
        <v>17.745200000000001</v>
      </c>
      <c r="L312" s="224">
        <f t="shared" si="236"/>
        <v>1.4652000000000001</v>
      </c>
      <c r="M312" s="224">
        <f t="shared" si="255"/>
        <v>16.28</v>
      </c>
      <c r="N312" s="225">
        <v>10.8</v>
      </c>
      <c r="O312" s="225">
        <v>4</v>
      </c>
      <c r="P312" s="225">
        <v>0</v>
      </c>
      <c r="Q312" s="225">
        <v>0</v>
      </c>
      <c r="R312" s="226">
        <v>0.1</v>
      </c>
      <c r="S312" s="227">
        <f t="shared" si="256"/>
        <v>1.4800000000000002</v>
      </c>
      <c r="T312" s="238"/>
      <c r="U312" s="220"/>
    </row>
    <row r="313" spans="1:21" ht="52.5" outlineLevel="1">
      <c r="A313" s="221">
        <v>9</v>
      </c>
      <c r="B313" s="221">
        <v>2</v>
      </c>
      <c r="C313" s="222" t="s">
        <v>661</v>
      </c>
      <c r="D313" s="222" t="s">
        <v>659</v>
      </c>
      <c r="E313" s="222" t="s">
        <v>660</v>
      </c>
      <c r="F313" s="221" t="s">
        <v>524</v>
      </c>
      <c r="G313" s="223">
        <v>0</v>
      </c>
      <c r="H313" s="221">
        <f t="shared" si="260"/>
        <v>0</v>
      </c>
      <c r="I313" s="221">
        <f t="shared" si="261"/>
        <v>0</v>
      </c>
      <c r="J313" s="197"/>
      <c r="K313" s="224">
        <f t="shared" si="254"/>
        <v>21.342200000000002</v>
      </c>
      <c r="L313" s="224">
        <f t="shared" si="236"/>
        <v>1.7622000000000002</v>
      </c>
      <c r="M313" s="224">
        <f t="shared" si="255"/>
        <v>19.580000000000002</v>
      </c>
      <c r="N313" s="225">
        <v>10.8</v>
      </c>
      <c r="O313" s="225">
        <v>7</v>
      </c>
      <c r="P313" s="225">
        <v>0</v>
      </c>
      <c r="Q313" s="225">
        <v>0</v>
      </c>
      <c r="R313" s="226">
        <v>0.1</v>
      </c>
      <c r="S313" s="227">
        <f t="shared" si="256"/>
        <v>1.7800000000000002</v>
      </c>
      <c r="T313" s="238"/>
      <c r="U313" s="220"/>
    </row>
    <row r="314" spans="1:21" ht="63" outlineLevel="1">
      <c r="A314" s="221">
        <v>10</v>
      </c>
      <c r="B314" s="221">
        <v>2</v>
      </c>
      <c r="C314" s="222" t="s">
        <v>662</v>
      </c>
      <c r="D314" s="222" t="s">
        <v>663</v>
      </c>
      <c r="E314" s="222" t="s">
        <v>660</v>
      </c>
      <c r="F314" s="221" t="s">
        <v>524</v>
      </c>
      <c r="G314" s="223">
        <v>0</v>
      </c>
      <c r="H314" s="221">
        <f t="shared" si="260"/>
        <v>0</v>
      </c>
      <c r="I314" s="221">
        <f t="shared" si="261"/>
        <v>0</v>
      </c>
      <c r="J314" s="197"/>
      <c r="K314" s="224">
        <f t="shared" si="254"/>
        <v>22.5412</v>
      </c>
      <c r="L314" s="224">
        <f t="shared" si="236"/>
        <v>1.8612</v>
      </c>
      <c r="M314" s="224">
        <f t="shared" si="255"/>
        <v>20.68</v>
      </c>
      <c r="N314" s="225">
        <v>10.8</v>
      </c>
      <c r="O314" s="225">
        <v>8</v>
      </c>
      <c r="P314" s="225">
        <v>0</v>
      </c>
      <c r="Q314" s="225">
        <v>0</v>
      </c>
      <c r="R314" s="226">
        <v>0.1</v>
      </c>
      <c r="S314" s="227">
        <f t="shared" si="256"/>
        <v>1.8800000000000001</v>
      </c>
      <c r="T314" s="238"/>
      <c r="U314" s="220"/>
    </row>
    <row r="315" spans="1:21" ht="115.5" outlineLevel="1">
      <c r="A315" s="221">
        <v>11</v>
      </c>
      <c r="B315" s="221">
        <v>2</v>
      </c>
      <c r="C315" s="277" t="s">
        <v>664</v>
      </c>
      <c r="D315" s="277" t="s">
        <v>665</v>
      </c>
      <c r="E315" s="277"/>
      <c r="F315" s="310" t="s">
        <v>212</v>
      </c>
      <c r="G315" s="223">
        <v>0</v>
      </c>
      <c r="H315" s="221">
        <f t="shared" si="260"/>
        <v>0</v>
      </c>
      <c r="I315" s="221">
        <f t="shared" si="261"/>
        <v>0</v>
      </c>
      <c r="J315" s="197"/>
      <c r="K315" s="224">
        <f t="shared" si="254"/>
        <v>397.28865000000002</v>
      </c>
      <c r="L315" s="224">
        <f t="shared" si="236"/>
        <v>32.803649999999998</v>
      </c>
      <c r="M315" s="224">
        <f t="shared" si="255"/>
        <v>364.48500000000001</v>
      </c>
      <c r="N315" s="225">
        <v>42.35</v>
      </c>
      <c r="O315" s="225">
        <v>289</v>
      </c>
      <c r="P315" s="225">
        <v>0</v>
      </c>
      <c r="Q315" s="225">
        <v>0</v>
      </c>
      <c r="R315" s="226">
        <v>0.1</v>
      </c>
      <c r="S315" s="227">
        <f t="shared" si="256"/>
        <v>33.135000000000005</v>
      </c>
      <c r="T315" s="238"/>
      <c r="U315" s="220"/>
    </row>
    <row r="316" spans="1:21" ht="31.5" outlineLevel="1">
      <c r="A316" s="221">
        <v>12</v>
      </c>
      <c r="B316" s="221">
        <v>2</v>
      </c>
      <c r="C316" s="277" t="s">
        <v>666</v>
      </c>
      <c r="D316" s="277" t="s">
        <v>667</v>
      </c>
      <c r="E316" s="277" t="s">
        <v>424</v>
      </c>
      <c r="F316" s="310" t="s">
        <v>524</v>
      </c>
      <c r="G316" s="223">
        <v>0</v>
      </c>
      <c r="H316" s="221">
        <f t="shared" si="260"/>
        <v>0</v>
      </c>
      <c r="I316" s="221">
        <f t="shared" si="261"/>
        <v>0</v>
      </c>
      <c r="J316" s="197"/>
      <c r="K316" s="224">
        <f t="shared" si="254"/>
        <v>53.787139999999994</v>
      </c>
      <c r="L316" s="224">
        <f t="shared" si="236"/>
        <v>4.4411399999999999</v>
      </c>
      <c r="M316" s="224">
        <f t="shared" si="255"/>
        <v>49.345999999999997</v>
      </c>
      <c r="N316" s="225">
        <v>40</v>
      </c>
      <c r="O316" s="225">
        <v>4.8600000000000003</v>
      </c>
      <c r="P316" s="225">
        <v>0</v>
      </c>
      <c r="Q316" s="225">
        <v>0</v>
      </c>
      <c r="R316" s="226">
        <v>0.1</v>
      </c>
      <c r="S316" s="227">
        <f t="shared" si="256"/>
        <v>4.4859999999999998</v>
      </c>
      <c r="T316" s="238"/>
      <c r="U316" s="220"/>
    </row>
    <row r="317" spans="1:21" ht="42" outlineLevel="1">
      <c r="A317" s="221">
        <v>13</v>
      </c>
      <c r="B317" s="221">
        <v>2</v>
      </c>
      <c r="C317" s="277" t="s">
        <v>668</v>
      </c>
      <c r="D317" s="277" t="s">
        <v>669</v>
      </c>
      <c r="E317" s="277" t="s">
        <v>670</v>
      </c>
      <c r="F317" s="310" t="s">
        <v>212</v>
      </c>
      <c r="G317" s="223">
        <v>0</v>
      </c>
      <c r="H317" s="221">
        <f t="shared" si="260"/>
        <v>0</v>
      </c>
      <c r="I317" s="221">
        <f t="shared" si="261"/>
        <v>0</v>
      </c>
      <c r="J317" s="197"/>
      <c r="K317" s="224">
        <f t="shared" si="254"/>
        <v>260.02649053333374</v>
      </c>
      <c r="L317" s="224">
        <f t="shared" si="236"/>
        <v>21.470077200000031</v>
      </c>
      <c r="M317" s="224">
        <f t="shared" si="255"/>
        <v>238.55641333333369</v>
      </c>
      <c r="N317" s="289">
        <v>51.2</v>
      </c>
      <c r="O317" s="289">
        <v>165.66946666666701</v>
      </c>
      <c r="P317" s="225">
        <v>0</v>
      </c>
      <c r="Q317" s="225">
        <v>0</v>
      </c>
      <c r="R317" s="226">
        <v>0.1</v>
      </c>
      <c r="S317" s="227">
        <f t="shared" si="256"/>
        <v>21.686946666666699</v>
      </c>
      <c r="T317" s="238"/>
      <c r="U317" s="220"/>
    </row>
    <row r="318" spans="1:21" ht="42" outlineLevel="1">
      <c r="A318" s="221">
        <v>14</v>
      </c>
      <c r="B318" s="221">
        <v>2</v>
      </c>
      <c r="C318" s="277" t="s">
        <v>671</v>
      </c>
      <c r="D318" s="277" t="s">
        <v>672</v>
      </c>
      <c r="E318" s="277" t="s">
        <v>673</v>
      </c>
      <c r="F318" s="310" t="s">
        <v>265</v>
      </c>
      <c r="G318" s="223">
        <v>0</v>
      </c>
      <c r="H318" s="221">
        <f t="shared" si="260"/>
        <v>0</v>
      </c>
      <c r="I318" s="221">
        <f t="shared" si="261"/>
        <v>0</v>
      </c>
      <c r="J318" s="197"/>
      <c r="K318" s="224">
        <f t="shared" si="254"/>
        <v>23.368510000000004</v>
      </c>
      <c r="L318" s="224">
        <f t="shared" si="236"/>
        <v>1.9295100000000003</v>
      </c>
      <c r="M318" s="224">
        <f t="shared" si="255"/>
        <v>21.439000000000004</v>
      </c>
      <c r="N318" s="289">
        <v>11</v>
      </c>
      <c r="O318" s="289">
        <v>8.49</v>
      </c>
      <c r="P318" s="225">
        <v>0</v>
      </c>
      <c r="Q318" s="225">
        <v>0</v>
      </c>
      <c r="R318" s="226">
        <v>0.1</v>
      </c>
      <c r="S318" s="227">
        <f t="shared" si="256"/>
        <v>1.9490000000000003</v>
      </c>
      <c r="T318" s="238"/>
      <c r="U318" s="220"/>
    </row>
    <row r="319" spans="1:21" ht="42" outlineLevel="1">
      <c r="A319" s="221">
        <v>15</v>
      </c>
      <c r="B319" s="221">
        <v>2</v>
      </c>
      <c r="C319" s="277" t="s">
        <v>674</v>
      </c>
      <c r="D319" s="277" t="s">
        <v>675</v>
      </c>
      <c r="E319" s="277" t="s">
        <v>676</v>
      </c>
      <c r="F319" s="310" t="s">
        <v>172</v>
      </c>
      <c r="G319" s="223">
        <v>0</v>
      </c>
      <c r="H319" s="221">
        <f t="shared" si="260"/>
        <v>0</v>
      </c>
      <c r="I319" s="221">
        <f t="shared" si="261"/>
        <v>0</v>
      </c>
      <c r="J319" s="197"/>
      <c r="K319" s="224">
        <f t="shared" si="254"/>
        <v>23.368510000000004</v>
      </c>
      <c r="L319" s="224">
        <f t="shared" si="236"/>
        <v>1.9295100000000003</v>
      </c>
      <c r="M319" s="224">
        <f t="shared" si="255"/>
        <v>21.439000000000004</v>
      </c>
      <c r="N319" s="289">
        <v>11</v>
      </c>
      <c r="O319" s="289">
        <v>8.49</v>
      </c>
      <c r="P319" s="225">
        <v>0</v>
      </c>
      <c r="Q319" s="225">
        <v>0</v>
      </c>
      <c r="R319" s="226">
        <v>0.1</v>
      </c>
      <c r="S319" s="227">
        <f t="shared" si="256"/>
        <v>1.9490000000000003</v>
      </c>
      <c r="T319" s="238"/>
      <c r="U319" s="220"/>
    </row>
    <row r="320" spans="1:21" ht="42" outlineLevel="1">
      <c r="A320" s="221">
        <v>16</v>
      </c>
      <c r="B320" s="221">
        <v>2</v>
      </c>
      <c r="C320" s="277" t="s">
        <v>677</v>
      </c>
      <c r="D320" s="277" t="s">
        <v>678</v>
      </c>
      <c r="E320" s="277" t="s">
        <v>679</v>
      </c>
      <c r="F320" s="310" t="s">
        <v>524</v>
      </c>
      <c r="G320" s="223">
        <v>0</v>
      </c>
      <c r="H320" s="221">
        <f t="shared" si="260"/>
        <v>0</v>
      </c>
      <c r="I320" s="221">
        <f t="shared" si="261"/>
        <v>0</v>
      </c>
      <c r="J320" s="197"/>
      <c r="K320" s="224">
        <f t="shared" si="254"/>
        <v>29.975000000000001</v>
      </c>
      <c r="L320" s="224">
        <f t="shared" si="236"/>
        <v>2.4750000000000001</v>
      </c>
      <c r="M320" s="224">
        <f t="shared" si="255"/>
        <v>27.5</v>
      </c>
      <c r="N320" s="289">
        <v>25</v>
      </c>
      <c r="O320" s="289">
        <v>0</v>
      </c>
      <c r="P320" s="225">
        <v>0</v>
      </c>
      <c r="Q320" s="225">
        <v>0</v>
      </c>
      <c r="R320" s="226">
        <v>0.1</v>
      </c>
      <c r="S320" s="227">
        <f t="shared" si="256"/>
        <v>2.5</v>
      </c>
      <c r="T320" s="238"/>
      <c r="U320" s="220"/>
    </row>
    <row r="321" spans="1:21" ht="42" outlineLevel="1">
      <c r="A321" s="221">
        <v>17</v>
      </c>
      <c r="B321" s="221">
        <v>2</v>
      </c>
      <c r="C321" s="277" t="s">
        <v>680</v>
      </c>
      <c r="D321" s="277" t="s">
        <v>678</v>
      </c>
      <c r="E321" s="277" t="s">
        <v>679</v>
      </c>
      <c r="F321" s="310" t="s">
        <v>524</v>
      </c>
      <c r="G321" s="223">
        <v>0</v>
      </c>
      <c r="H321" s="221">
        <f t="shared" si="260"/>
        <v>0</v>
      </c>
      <c r="I321" s="221">
        <f t="shared" si="261"/>
        <v>0</v>
      </c>
      <c r="J321" s="197"/>
      <c r="K321" s="224">
        <f t="shared" si="254"/>
        <v>47.96</v>
      </c>
      <c r="L321" s="224">
        <f t="shared" si="236"/>
        <v>3.96</v>
      </c>
      <c r="M321" s="224">
        <f t="shared" si="255"/>
        <v>44</v>
      </c>
      <c r="N321" s="289">
        <v>40</v>
      </c>
      <c r="O321" s="289">
        <v>0</v>
      </c>
      <c r="P321" s="225">
        <v>0</v>
      </c>
      <c r="Q321" s="225">
        <v>0</v>
      </c>
      <c r="R321" s="226">
        <v>0.1</v>
      </c>
      <c r="S321" s="227">
        <f t="shared" si="256"/>
        <v>4</v>
      </c>
      <c r="T321" s="238"/>
      <c r="U321" s="220"/>
    </row>
    <row r="322" spans="1:21" ht="21" outlineLevel="1">
      <c r="A322" s="221">
        <v>18</v>
      </c>
      <c r="B322" s="221">
        <v>2</v>
      </c>
      <c r="C322" s="220" t="s">
        <v>681</v>
      </c>
      <c r="D322" s="222" t="s">
        <v>682</v>
      </c>
      <c r="E322" s="220" t="s">
        <v>242</v>
      </c>
      <c r="F322" s="311" t="s">
        <v>2095</v>
      </c>
      <c r="G322" s="223">
        <v>0</v>
      </c>
      <c r="H322" s="221">
        <f t="shared" ref="H322:H329" si="265">G322*K322</f>
        <v>0</v>
      </c>
      <c r="I322" s="221">
        <f t="shared" ref="I322:I329" si="266">G322*K322*(1+J322)</f>
        <v>0</v>
      </c>
      <c r="J322" s="197"/>
      <c r="K322" s="224">
        <f t="shared" ref="K322:K325" si="267">L322+M322</f>
        <v>397.88174757281553</v>
      </c>
      <c r="L322" s="224">
        <f t="shared" ref="L322:L329" si="268">M322*0.09</f>
        <v>32.852621359223299</v>
      </c>
      <c r="M322" s="224">
        <f t="shared" ref="M322:M325" si="269">N322+O322+P322+Q322+S322</f>
        <v>365.02912621359224</v>
      </c>
      <c r="N322" s="225">
        <v>60</v>
      </c>
      <c r="O322" s="225">
        <f>280/1.03</f>
        <v>271.84466019417476</v>
      </c>
      <c r="P322" s="225">
        <v>0</v>
      </c>
      <c r="Q322" s="225">
        <v>0</v>
      </c>
      <c r="R322" s="226">
        <v>0.1</v>
      </c>
      <c r="S322" s="227">
        <f t="shared" ref="S322:S325" si="270">SUM(N322:Q322)*R322</f>
        <v>33.184466019417478</v>
      </c>
      <c r="T322" s="228"/>
      <c r="U322" s="312"/>
    </row>
    <row r="323" spans="1:21" ht="31.5" outlineLevel="1">
      <c r="A323" s="221">
        <v>19</v>
      </c>
      <c r="B323" s="221">
        <v>2</v>
      </c>
      <c r="C323" s="313" t="s">
        <v>683</v>
      </c>
      <c r="D323" s="314" t="s">
        <v>684</v>
      </c>
      <c r="E323" s="277" t="s">
        <v>685</v>
      </c>
      <c r="F323" s="310" t="s">
        <v>524</v>
      </c>
      <c r="G323" s="223">
        <v>0</v>
      </c>
      <c r="H323" s="221">
        <f t="shared" si="265"/>
        <v>0</v>
      </c>
      <c r="I323" s="221">
        <f t="shared" si="266"/>
        <v>0</v>
      </c>
      <c r="J323" s="197"/>
      <c r="K323" s="224">
        <f t="shared" si="267"/>
        <v>441.44999999999993</v>
      </c>
      <c r="L323" s="224">
        <f t="shared" si="268"/>
        <v>36.449999999999996</v>
      </c>
      <c r="M323" s="224">
        <f t="shared" si="269"/>
        <v>404.99999999999994</v>
      </c>
      <c r="N323" s="225">
        <v>50</v>
      </c>
      <c r="O323" s="225">
        <f>350/1.1</f>
        <v>318.18181818181813</v>
      </c>
      <c r="P323" s="225">
        <v>0</v>
      </c>
      <c r="Q323" s="225">
        <v>0</v>
      </c>
      <c r="R323" s="226">
        <v>0.1</v>
      </c>
      <c r="S323" s="227">
        <f t="shared" si="270"/>
        <v>36.818181818181813</v>
      </c>
      <c r="T323" s="238"/>
      <c r="U323" s="312"/>
    </row>
    <row r="324" spans="1:21" ht="31.5" outlineLevel="1">
      <c r="A324" s="221">
        <v>20</v>
      </c>
      <c r="B324" s="221">
        <v>2</v>
      </c>
      <c r="C324" s="313" t="s">
        <v>683</v>
      </c>
      <c r="D324" s="314" t="s">
        <v>686</v>
      </c>
      <c r="E324" s="277" t="s">
        <v>685</v>
      </c>
      <c r="F324" s="310" t="s">
        <v>524</v>
      </c>
      <c r="G324" s="223">
        <v>0</v>
      </c>
      <c r="H324" s="221">
        <f t="shared" si="265"/>
        <v>0</v>
      </c>
      <c r="I324" s="221">
        <f t="shared" si="266"/>
        <v>0</v>
      </c>
      <c r="J324" s="197"/>
      <c r="K324" s="224">
        <f t="shared" si="267"/>
        <v>495.95</v>
      </c>
      <c r="L324" s="224">
        <f t="shared" si="268"/>
        <v>40.949999999999996</v>
      </c>
      <c r="M324" s="224">
        <f t="shared" si="269"/>
        <v>455</v>
      </c>
      <c r="N324" s="225">
        <v>50</v>
      </c>
      <c r="O324" s="225">
        <f>400/1.1</f>
        <v>363.63636363636363</v>
      </c>
      <c r="P324" s="225">
        <v>0</v>
      </c>
      <c r="Q324" s="225"/>
      <c r="R324" s="226">
        <v>0.1</v>
      </c>
      <c r="S324" s="227">
        <f t="shared" si="270"/>
        <v>41.363636363636367</v>
      </c>
      <c r="T324" s="238"/>
      <c r="U324" s="312"/>
    </row>
    <row r="325" spans="1:21" ht="31.5" outlineLevel="1">
      <c r="A325" s="221">
        <v>21</v>
      </c>
      <c r="B325" s="221">
        <v>2</v>
      </c>
      <c r="C325" s="313" t="s">
        <v>657</v>
      </c>
      <c r="D325" s="313" t="s">
        <v>687</v>
      </c>
      <c r="E325" s="277" t="s">
        <v>688</v>
      </c>
      <c r="F325" s="310" t="s">
        <v>524</v>
      </c>
      <c r="G325" s="223">
        <v>0</v>
      </c>
      <c r="H325" s="221">
        <f t="shared" si="265"/>
        <v>0</v>
      </c>
      <c r="I325" s="221">
        <f t="shared" si="266"/>
        <v>0</v>
      </c>
      <c r="J325" s="197"/>
      <c r="K325" s="224">
        <f t="shared" si="267"/>
        <v>141.69999999999999</v>
      </c>
      <c r="L325" s="224">
        <f t="shared" si="268"/>
        <v>11.7</v>
      </c>
      <c r="M325" s="224">
        <f t="shared" si="269"/>
        <v>130</v>
      </c>
      <c r="N325" s="225">
        <v>0</v>
      </c>
      <c r="O325" s="225">
        <f>130/1.1</f>
        <v>118.18181818181817</v>
      </c>
      <c r="P325" s="225">
        <v>0</v>
      </c>
      <c r="Q325" s="225"/>
      <c r="R325" s="226">
        <v>0.1</v>
      </c>
      <c r="S325" s="227">
        <f t="shared" si="270"/>
        <v>11.818181818181818</v>
      </c>
      <c r="T325" s="238"/>
      <c r="U325" s="312"/>
    </row>
    <row r="326" spans="1:21" ht="31.5" outlineLevel="1">
      <c r="A326" s="221">
        <v>22</v>
      </c>
      <c r="B326" s="221">
        <v>2</v>
      </c>
      <c r="C326" s="313" t="s">
        <v>657</v>
      </c>
      <c r="D326" s="313" t="s">
        <v>689</v>
      </c>
      <c r="E326" s="277" t="s">
        <v>688</v>
      </c>
      <c r="F326" s="310" t="s">
        <v>524</v>
      </c>
      <c r="G326" s="223">
        <v>0</v>
      </c>
      <c r="H326" s="221">
        <f t="shared" si="265"/>
        <v>0</v>
      </c>
      <c r="I326" s="221">
        <f t="shared" si="266"/>
        <v>0</v>
      </c>
      <c r="J326" s="197"/>
      <c r="K326" s="224">
        <f t="shared" ref="K326:K329" si="271">L326+M326</f>
        <v>130.79999999999998</v>
      </c>
      <c r="L326" s="224">
        <f t="shared" si="268"/>
        <v>10.799999999999999</v>
      </c>
      <c r="M326" s="224">
        <f t="shared" ref="M326:M329" si="272">N326+O326+P326+Q326+S326</f>
        <v>119.99999999999999</v>
      </c>
      <c r="N326" s="225"/>
      <c r="O326" s="225">
        <f>120/1.1</f>
        <v>109.09090909090908</v>
      </c>
      <c r="P326" s="225">
        <v>0</v>
      </c>
      <c r="Q326" s="225">
        <v>0</v>
      </c>
      <c r="R326" s="226">
        <v>0.1</v>
      </c>
      <c r="S326" s="227">
        <f t="shared" ref="S326:S329" si="273">SUM(N326:Q326)*R326</f>
        <v>10.909090909090908</v>
      </c>
      <c r="T326" s="238"/>
      <c r="U326" s="312"/>
    </row>
    <row r="327" spans="1:21" ht="63" outlineLevel="1">
      <c r="A327" s="221">
        <v>23</v>
      </c>
      <c r="B327" s="221"/>
      <c r="C327" s="222" t="s">
        <v>690</v>
      </c>
      <c r="D327" s="222" t="s">
        <v>690</v>
      </c>
      <c r="E327" s="222"/>
      <c r="F327" s="221" t="s">
        <v>238</v>
      </c>
      <c r="G327" s="223">
        <v>0</v>
      </c>
      <c r="H327" s="223">
        <f t="shared" si="265"/>
        <v>0</v>
      </c>
      <c r="I327" s="223">
        <f t="shared" si="266"/>
        <v>0</v>
      </c>
      <c r="J327" s="197"/>
      <c r="K327" s="224">
        <f t="shared" si="271"/>
        <v>23994.387999999999</v>
      </c>
      <c r="L327" s="224">
        <f t="shared" si="268"/>
        <v>1981.1880000000001</v>
      </c>
      <c r="M327" s="224">
        <f t="shared" si="272"/>
        <v>22013.200000000001</v>
      </c>
      <c r="N327" s="225">
        <v>12</v>
      </c>
      <c r="O327" s="225">
        <f>20*1000</f>
        <v>20000</v>
      </c>
      <c r="P327" s="225">
        <v>0</v>
      </c>
      <c r="Q327" s="225">
        <v>0</v>
      </c>
      <c r="R327" s="226">
        <v>0.1</v>
      </c>
      <c r="S327" s="227">
        <f t="shared" si="273"/>
        <v>2001.2</v>
      </c>
      <c r="T327" s="238"/>
      <c r="U327" s="312"/>
    </row>
    <row r="328" spans="1:21" ht="63" outlineLevel="1">
      <c r="A328" s="221">
        <v>24</v>
      </c>
      <c r="B328" s="221"/>
      <c r="C328" s="222" t="s">
        <v>691</v>
      </c>
      <c r="D328" s="222" t="s">
        <v>691</v>
      </c>
      <c r="E328" s="222"/>
      <c r="F328" s="221" t="s">
        <v>238</v>
      </c>
      <c r="G328" s="223">
        <v>23.315280000000001</v>
      </c>
      <c r="H328" s="223">
        <f t="shared" si="265"/>
        <v>503525.83320863999</v>
      </c>
      <c r="I328" s="223">
        <f t="shared" si="266"/>
        <v>503525.83320863999</v>
      </c>
      <c r="J328" s="197"/>
      <c r="K328" s="224">
        <f t="shared" si="271"/>
        <v>21596.387999999999</v>
      </c>
      <c r="L328" s="224">
        <f t="shared" si="268"/>
        <v>1783.1880000000001</v>
      </c>
      <c r="M328" s="224">
        <f t="shared" si="272"/>
        <v>19813.2</v>
      </c>
      <c r="N328" s="225">
        <v>12</v>
      </c>
      <c r="O328" s="225">
        <f>18*1000</f>
        <v>18000</v>
      </c>
      <c r="P328" s="225">
        <v>0</v>
      </c>
      <c r="Q328" s="225">
        <v>0</v>
      </c>
      <c r="R328" s="226">
        <v>0.1</v>
      </c>
      <c r="S328" s="227">
        <f t="shared" si="273"/>
        <v>1801.2</v>
      </c>
      <c r="T328" s="238"/>
      <c r="U328" s="312"/>
    </row>
    <row r="329" spans="1:21" ht="73.5" outlineLevel="1">
      <c r="A329" s="221">
        <v>25</v>
      </c>
      <c r="B329" s="221"/>
      <c r="C329" s="222" t="s">
        <v>692</v>
      </c>
      <c r="D329" s="222" t="s">
        <v>692</v>
      </c>
      <c r="E329" s="222"/>
      <c r="F329" s="221" t="s">
        <v>238</v>
      </c>
      <c r="G329" s="223">
        <v>0</v>
      </c>
      <c r="H329" s="223">
        <f t="shared" si="265"/>
        <v>0</v>
      </c>
      <c r="I329" s="223">
        <f t="shared" si="266"/>
        <v>0</v>
      </c>
      <c r="J329" s="197"/>
      <c r="K329" s="224">
        <f t="shared" si="271"/>
        <v>7328.2879999999996</v>
      </c>
      <c r="L329" s="224">
        <f t="shared" si="268"/>
        <v>605.08799999999997</v>
      </c>
      <c r="M329" s="224">
        <f t="shared" si="272"/>
        <v>6723.2</v>
      </c>
      <c r="N329" s="225">
        <v>12</v>
      </c>
      <c r="O329" s="225">
        <f>6.1*1000</f>
        <v>6100</v>
      </c>
      <c r="P329" s="225">
        <v>0</v>
      </c>
      <c r="Q329" s="225">
        <v>0</v>
      </c>
      <c r="R329" s="226">
        <v>0.1</v>
      </c>
      <c r="S329" s="227">
        <f t="shared" si="273"/>
        <v>611.20000000000005</v>
      </c>
      <c r="T329" s="238"/>
      <c r="U329" s="312"/>
    </row>
    <row r="330" spans="1:21">
      <c r="A330" s="221"/>
      <c r="B330" s="221"/>
      <c r="C330" s="315" t="s">
        <v>248</v>
      </c>
      <c r="D330" s="313"/>
      <c r="E330" s="277"/>
      <c r="F330" s="310"/>
      <c r="G330" s="310"/>
      <c r="H330" s="316">
        <f>SUM(H305:H329)</f>
        <v>655482.53373323975</v>
      </c>
      <c r="I330" s="316">
        <f>SUM(I305:I329)</f>
        <v>655482.53373323975</v>
      </c>
      <c r="J330" s="317"/>
      <c r="K330" s="224"/>
      <c r="L330" s="224"/>
      <c r="M330" s="224"/>
      <c r="N330" s="225"/>
      <c r="O330" s="225"/>
      <c r="P330" s="225"/>
      <c r="Q330" s="225"/>
      <c r="R330" s="226"/>
      <c r="S330" s="227"/>
      <c r="T330" s="238"/>
      <c r="U330" s="312"/>
    </row>
    <row r="331" spans="1:21" ht="30.6" customHeight="1">
      <c r="A331" s="318"/>
      <c r="B331" s="319"/>
      <c r="C331" s="320" t="s">
        <v>35</v>
      </c>
      <c r="D331" s="319"/>
      <c r="E331" s="319"/>
      <c r="F331" s="321"/>
      <c r="G331" s="322"/>
      <c r="H331" s="323">
        <f>H9+H18+H75+H101+H131+H224+H249+H294+H285+H303+H330</f>
        <v>26357684.177559305</v>
      </c>
      <c r="I331" s="323">
        <f>I9+I18+I75+I101+I131+I224+I249+I294+I285+I303+I330</f>
        <v>26357684.177559305</v>
      </c>
      <c r="J331" s="306"/>
      <c r="K331" s="306"/>
      <c r="L331" s="306"/>
      <c r="M331" s="306"/>
      <c r="N331" s="305"/>
      <c r="O331" s="305"/>
      <c r="P331" s="305"/>
      <c r="Q331" s="305"/>
      <c r="R331" s="324"/>
      <c r="S331" s="305"/>
      <c r="T331" s="238"/>
      <c r="U331" s="220"/>
    </row>
  </sheetData>
  <sheetProtection password="C743" sheet="1" objects="1" scenarios="1"/>
  <autoFilter ref="A4:V331"/>
  <mergeCells count="16">
    <mergeCell ref="U2:U3"/>
    <mergeCell ref="A1:S1"/>
    <mergeCell ref="N2:S2"/>
    <mergeCell ref="A2:A4"/>
    <mergeCell ref="B2:B4"/>
    <mergeCell ref="C2:C4"/>
    <mergeCell ref="D2:D4"/>
    <mergeCell ref="E2:E4"/>
    <mergeCell ref="F2:F4"/>
    <mergeCell ref="G2:G4"/>
    <mergeCell ref="H2:H4"/>
    <mergeCell ref="I2:I4"/>
    <mergeCell ref="J2:J4"/>
    <mergeCell ref="K2:K3"/>
    <mergeCell ref="L2:L3"/>
    <mergeCell ref="M2:M3"/>
  </mergeCells>
  <phoneticPr fontId="112" type="noConversion"/>
  <conditionalFormatting sqref="O57">
    <cfRule type="cellIs" dxfId="5" priority="5" stopIfTrue="1" operator="lessThan">
      <formula>0</formula>
    </cfRule>
  </conditionalFormatting>
  <conditionalFormatting sqref="P198">
    <cfRule type="expression" dxfId="4" priority="2" stopIfTrue="1">
      <formula>#REF!=1</formula>
    </cfRule>
  </conditionalFormatting>
  <conditionalFormatting sqref="P187:P189">
    <cfRule type="expression" dxfId="3" priority="4" stopIfTrue="1">
      <formula>#REF!=1</formula>
    </cfRule>
  </conditionalFormatting>
  <conditionalFormatting sqref="P195:P196">
    <cfRule type="expression" dxfId="2" priority="1" stopIfTrue="1">
      <formula>#REF!=1</formula>
    </cfRule>
  </conditionalFormatting>
  <printOptions horizontalCentered="1"/>
  <pageMargins left="0.19685039370078741" right="0.19685039370078741" top="0.98425196850393704" bottom="0.39370078740157483" header="0" footer="0.31496062992125984"/>
  <pageSetup paperSize="9" scale="90" orientation="landscape" r:id="rId1"/>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Y413"/>
  <sheetViews>
    <sheetView view="pageBreakPreview" zoomScaleNormal="80" zoomScaleSheetLayoutView="100" workbookViewId="0">
      <pane xSplit="6" ySplit="4" topLeftCell="G119" activePane="bottomRight" state="frozen"/>
      <selection pane="topRight"/>
      <selection pane="bottomLeft"/>
      <selection pane="bottomRight" activeCell="L123" sqref="L123"/>
    </sheetView>
  </sheetViews>
  <sheetFormatPr defaultColWidth="9" defaultRowHeight="36.950000000000003" customHeight="1" outlineLevelRow="2"/>
  <cols>
    <col min="1" max="1" width="2.875" customWidth="1"/>
    <col min="2" max="2" width="2.25" customWidth="1"/>
    <col min="3" max="3" width="9.375" customWidth="1"/>
    <col min="4" max="4" width="11.125" customWidth="1"/>
    <col min="5" max="5" width="13.25" customWidth="1"/>
    <col min="6" max="6" width="3" customWidth="1"/>
    <col min="7" max="7" width="9.125" customWidth="1"/>
    <col min="8" max="8" width="12.25" customWidth="1"/>
    <col min="9" max="9" width="12.75" customWidth="1"/>
    <col min="10" max="10" width="8.25" customWidth="1"/>
    <col min="11" max="11" width="6.75" customWidth="1"/>
    <col min="12" max="12" width="6" customWidth="1"/>
    <col min="13" max="13" width="6.75" customWidth="1"/>
    <col min="14" max="15" width="7.5" customWidth="1"/>
    <col min="16" max="16" width="6.75" customWidth="1"/>
    <col min="17" max="18" width="6" customWidth="1"/>
    <col min="19" max="19" width="6.75" customWidth="1"/>
    <col min="20" max="20" width="9.125" customWidth="1"/>
    <col min="21" max="21" width="8.75" customWidth="1"/>
    <col min="22" max="24" width="9" customWidth="1"/>
    <col min="25" max="25" width="2.875" customWidth="1"/>
    <col min="26" max="28" width="9" customWidth="1"/>
  </cols>
  <sheetData>
    <row r="1" spans="1:25" ht="33" customHeight="1">
      <c r="A1" s="642" t="s">
        <v>694</v>
      </c>
      <c r="B1" s="642"/>
      <c r="C1" s="642"/>
      <c r="D1" s="642"/>
      <c r="E1" s="642"/>
      <c r="F1" s="642"/>
      <c r="G1" s="642"/>
      <c r="H1" s="642"/>
      <c r="I1" s="642"/>
      <c r="J1" s="642"/>
      <c r="K1" s="642"/>
      <c r="L1" s="642"/>
      <c r="M1" s="642"/>
      <c r="N1" s="642"/>
      <c r="O1" s="642"/>
      <c r="P1" s="642"/>
      <c r="Q1" s="642"/>
      <c r="R1" s="642"/>
      <c r="S1" s="642"/>
      <c r="T1" s="643"/>
      <c r="U1" s="642"/>
    </row>
    <row r="2" spans="1:25" ht="24.95" customHeight="1">
      <c r="A2" s="647" t="s">
        <v>9</v>
      </c>
      <c r="B2" s="647" t="s">
        <v>131</v>
      </c>
      <c r="C2" s="650" t="s">
        <v>132</v>
      </c>
      <c r="D2" s="647" t="s">
        <v>133</v>
      </c>
      <c r="E2" s="647" t="s">
        <v>134</v>
      </c>
      <c r="F2" s="647" t="s">
        <v>135</v>
      </c>
      <c r="G2" s="647" t="s">
        <v>136</v>
      </c>
      <c r="H2" s="647" t="s">
        <v>137</v>
      </c>
      <c r="I2" s="647" t="s">
        <v>138</v>
      </c>
      <c r="J2" s="653" t="s">
        <v>139</v>
      </c>
      <c r="K2" s="656" t="s">
        <v>140</v>
      </c>
      <c r="L2" s="656" t="s">
        <v>141</v>
      </c>
      <c r="M2" s="656" t="s">
        <v>142</v>
      </c>
      <c r="N2" s="644" t="s">
        <v>143</v>
      </c>
      <c r="O2" s="645"/>
      <c r="P2" s="645"/>
      <c r="Q2" s="645"/>
      <c r="R2" s="645"/>
      <c r="S2" s="646"/>
      <c r="T2" s="331"/>
      <c r="U2" s="656" t="s">
        <v>11</v>
      </c>
    </row>
    <row r="3" spans="1:25" ht="70.150000000000006" customHeight="1">
      <c r="A3" s="648"/>
      <c r="B3" s="648"/>
      <c r="C3" s="651"/>
      <c r="D3" s="648"/>
      <c r="E3" s="648"/>
      <c r="F3" s="648"/>
      <c r="G3" s="648"/>
      <c r="H3" s="648"/>
      <c r="I3" s="648"/>
      <c r="J3" s="654"/>
      <c r="K3" s="657"/>
      <c r="L3" s="657"/>
      <c r="M3" s="657"/>
      <c r="N3" s="332" t="s">
        <v>144</v>
      </c>
      <c r="O3" s="332" t="s">
        <v>145</v>
      </c>
      <c r="P3" s="332" t="s">
        <v>695</v>
      </c>
      <c r="Q3" s="333" t="s">
        <v>147</v>
      </c>
      <c r="R3" s="333" t="s">
        <v>148</v>
      </c>
      <c r="S3" s="333" t="s">
        <v>149</v>
      </c>
      <c r="T3" s="333" t="s">
        <v>150</v>
      </c>
      <c r="U3" s="658"/>
    </row>
    <row r="4" spans="1:25" ht="36" customHeight="1">
      <c r="A4" s="649"/>
      <c r="B4" s="649"/>
      <c r="C4" s="652"/>
      <c r="D4" s="649"/>
      <c r="E4" s="649"/>
      <c r="F4" s="649"/>
      <c r="G4" s="649"/>
      <c r="H4" s="649"/>
      <c r="I4" s="649"/>
      <c r="J4" s="655"/>
      <c r="K4" s="334" t="s">
        <v>151</v>
      </c>
      <c r="L4" s="335" t="s">
        <v>152</v>
      </c>
      <c r="M4" s="334" t="s">
        <v>153</v>
      </c>
      <c r="N4" s="336" t="s">
        <v>154</v>
      </c>
      <c r="O4" s="337" t="s">
        <v>155</v>
      </c>
      <c r="P4" s="337" t="s">
        <v>156</v>
      </c>
      <c r="Q4" s="338" t="s">
        <v>157</v>
      </c>
      <c r="R4" s="338" t="s">
        <v>158</v>
      </c>
      <c r="S4" s="339" t="s">
        <v>2104</v>
      </c>
      <c r="T4" s="339" t="s">
        <v>159</v>
      </c>
      <c r="U4" s="657"/>
    </row>
    <row r="5" spans="1:25" ht="13.5">
      <c r="A5" s="209" t="s">
        <v>45</v>
      </c>
      <c r="B5" s="209">
        <v>1</v>
      </c>
      <c r="C5" s="211" t="s">
        <v>330</v>
      </c>
      <c r="D5" s="211"/>
      <c r="E5" s="209"/>
      <c r="F5" s="221"/>
      <c r="G5" s="221"/>
      <c r="H5" s="221"/>
      <c r="I5" s="221"/>
      <c r="J5" s="221"/>
      <c r="K5" s="224"/>
      <c r="L5" s="224"/>
      <c r="M5" s="224"/>
      <c r="N5" s="225"/>
      <c r="O5" s="225"/>
      <c r="P5" s="225"/>
      <c r="Q5" s="225"/>
      <c r="R5" s="340"/>
      <c r="S5" s="224"/>
      <c r="T5" s="341"/>
      <c r="U5" s="264"/>
      <c r="V5" s="8"/>
      <c r="W5" s="8"/>
      <c r="X5" s="8"/>
      <c r="Y5" s="8"/>
    </row>
    <row r="6" spans="1:25" ht="126" outlineLevel="1">
      <c r="A6" s="221">
        <v>1</v>
      </c>
      <c r="B6" s="221">
        <v>2</v>
      </c>
      <c r="C6" s="307" t="s">
        <v>331</v>
      </c>
      <c r="D6" s="230" t="s">
        <v>697</v>
      </c>
      <c r="E6" s="222" t="s">
        <v>333</v>
      </c>
      <c r="F6" s="221" t="s">
        <v>162</v>
      </c>
      <c r="G6" s="225">
        <v>0</v>
      </c>
      <c r="H6" s="225">
        <f>G6*K6</f>
        <v>0</v>
      </c>
      <c r="I6" s="225">
        <f>G6*K6*(1+J6)</f>
        <v>0</v>
      </c>
      <c r="J6" s="197"/>
      <c r="K6" s="224">
        <f t="shared" ref="K6:K12" si="0">L6+M6</f>
        <v>577.31334194856311</v>
      </c>
      <c r="L6" s="224">
        <f t="shared" ref="L6:L12" si="1">M6*0.09</f>
        <v>47.66807410584466</v>
      </c>
      <c r="M6" s="224">
        <f t="shared" ref="M6:M12" si="2">N6+O6+P6+Q6+S6</f>
        <v>529.64526784271845</v>
      </c>
      <c r="N6" s="225">
        <v>230</v>
      </c>
      <c r="O6" s="225">
        <f>基准地下室土建清单!O77</f>
        <v>213.90291262135918</v>
      </c>
      <c r="P6" s="225">
        <f>基准地下室土建清单!P77</f>
        <v>37.592785417475724</v>
      </c>
      <c r="Q6" s="225">
        <f>基准地下室土建清单!Q77</f>
        <v>0</v>
      </c>
      <c r="R6" s="226">
        <v>0.1</v>
      </c>
      <c r="S6" s="227">
        <f t="shared" ref="S6:S12" si="3">SUM(N6:Q6)*R6</f>
        <v>48.149569803883495</v>
      </c>
      <c r="T6" s="342" t="s">
        <v>2098</v>
      </c>
      <c r="U6" s="220"/>
    </row>
    <row r="7" spans="1:25" ht="136.5" outlineLevel="1">
      <c r="A7" s="221">
        <v>2</v>
      </c>
      <c r="B7" s="221">
        <v>2</v>
      </c>
      <c r="C7" s="266" t="s">
        <v>331</v>
      </c>
      <c r="D7" s="266" t="s">
        <v>335</v>
      </c>
      <c r="E7" s="267" t="s">
        <v>333</v>
      </c>
      <c r="F7" s="267" t="s">
        <v>162</v>
      </c>
      <c r="G7" s="225">
        <v>0</v>
      </c>
      <c r="H7" s="225">
        <f t="shared" ref="H7:H12" si="4">G7*K7</f>
        <v>0</v>
      </c>
      <c r="I7" s="225">
        <f t="shared" ref="I7:I12" si="5">G7*K7*(1+J7)</f>
        <v>0</v>
      </c>
      <c r="J7" s="197"/>
      <c r="K7" s="224">
        <f t="shared" si="0"/>
        <v>604.8903419485631</v>
      </c>
      <c r="L7" s="224">
        <f t="shared" si="1"/>
        <v>49.945074105844654</v>
      </c>
      <c r="M7" s="224">
        <f t="shared" si="2"/>
        <v>554.94526784271841</v>
      </c>
      <c r="N7" s="225">
        <v>230</v>
      </c>
      <c r="O7" s="225">
        <f>基准地下室土建清单!O78</f>
        <v>213.90291262135918</v>
      </c>
      <c r="P7" s="225">
        <f>基准地下室土建清单!P78</f>
        <v>60.592785417475724</v>
      </c>
      <c r="Q7" s="225">
        <f>基准地下室土建清单!Q78</f>
        <v>0</v>
      </c>
      <c r="R7" s="226">
        <v>0.1</v>
      </c>
      <c r="S7" s="227">
        <f t="shared" si="3"/>
        <v>50.449569803883492</v>
      </c>
      <c r="T7" s="342" t="s">
        <v>336</v>
      </c>
      <c r="U7" s="220"/>
    </row>
    <row r="8" spans="1:25" ht="136.5" outlineLevel="1">
      <c r="A8" s="221">
        <v>3</v>
      </c>
      <c r="B8" s="221">
        <v>2</v>
      </c>
      <c r="C8" s="266" t="s">
        <v>698</v>
      </c>
      <c r="D8" s="266" t="s">
        <v>699</v>
      </c>
      <c r="E8" s="222" t="s">
        <v>333</v>
      </c>
      <c r="F8" s="221" t="s">
        <v>162</v>
      </c>
      <c r="G8" s="225">
        <v>7238.6576204744697</v>
      </c>
      <c r="H8" s="225">
        <f t="shared" si="4"/>
        <v>4178973.6220975495</v>
      </c>
      <c r="I8" s="225">
        <f t="shared" si="5"/>
        <v>4178973.6220975495</v>
      </c>
      <c r="J8" s="197"/>
      <c r="K8" s="224">
        <f t="shared" si="0"/>
        <v>577.31334194856311</v>
      </c>
      <c r="L8" s="224">
        <f t="shared" si="1"/>
        <v>47.66807410584466</v>
      </c>
      <c r="M8" s="224">
        <f t="shared" si="2"/>
        <v>529.64526784271845</v>
      </c>
      <c r="N8" s="225">
        <v>230</v>
      </c>
      <c r="O8" s="225">
        <f>基准地下室土建清单!O77</f>
        <v>213.90291262135918</v>
      </c>
      <c r="P8" s="225">
        <f>基准地下室土建清单!P77</f>
        <v>37.592785417475724</v>
      </c>
      <c r="Q8" s="225">
        <f>基准地下室土建清单!Q79</f>
        <v>0</v>
      </c>
      <c r="R8" s="226">
        <v>0.1</v>
      </c>
      <c r="S8" s="227">
        <f t="shared" si="3"/>
        <v>48.149569803883495</v>
      </c>
      <c r="T8" s="342" t="s">
        <v>2098</v>
      </c>
      <c r="U8" s="220"/>
    </row>
    <row r="9" spans="1:25" ht="126" outlineLevel="1">
      <c r="A9" s="221">
        <v>4</v>
      </c>
      <c r="B9" s="221">
        <v>2</v>
      </c>
      <c r="C9" s="266" t="s">
        <v>700</v>
      </c>
      <c r="D9" s="266" t="s">
        <v>701</v>
      </c>
      <c r="E9" s="222" t="s">
        <v>333</v>
      </c>
      <c r="F9" s="221" t="s">
        <v>162</v>
      </c>
      <c r="G9" s="225">
        <v>4127.9879670445898</v>
      </c>
      <c r="H9" s="225">
        <f t="shared" si="4"/>
        <v>2383142.5287779672</v>
      </c>
      <c r="I9" s="225">
        <f t="shared" si="5"/>
        <v>2383142.5287779672</v>
      </c>
      <c r="J9" s="197"/>
      <c r="K9" s="224">
        <f t="shared" si="0"/>
        <v>577.31334194856311</v>
      </c>
      <c r="L9" s="224">
        <f t="shared" si="1"/>
        <v>47.66807410584466</v>
      </c>
      <c r="M9" s="224">
        <f t="shared" si="2"/>
        <v>529.64526784271845</v>
      </c>
      <c r="N9" s="225">
        <v>230</v>
      </c>
      <c r="O9" s="225">
        <f>基准地下室土建清单!O77</f>
        <v>213.90291262135918</v>
      </c>
      <c r="P9" s="225">
        <f>基准地下室土建清单!P77</f>
        <v>37.592785417475724</v>
      </c>
      <c r="Q9" s="225">
        <f>基准地下室土建清单!Q80</f>
        <v>0</v>
      </c>
      <c r="R9" s="226">
        <v>0.1</v>
      </c>
      <c r="S9" s="227">
        <f t="shared" si="3"/>
        <v>48.149569803883495</v>
      </c>
      <c r="T9" s="342" t="s">
        <v>2098</v>
      </c>
      <c r="U9" s="220"/>
    </row>
    <row r="10" spans="1:25" ht="136.5" outlineLevel="1">
      <c r="A10" s="221">
        <v>5</v>
      </c>
      <c r="B10" s="221">
        <v>2</v>
      </c>
      <c r="C10" s="222" t="s">
        <v>337</v>
      </c>
      <c r="D10" s="230" t="s">
        <v>697</v>
      </c>
      <c r="E10" s="222" t="s">
        <v>333</v>
      </c>
      <c r="F10" s="221" t="s">
        <v>162</v>
      </c>
      <c r="G10" s="225">
        <v>0</v>
      </c>
      <c r="H10" s="225">
        <f t="shared" si="4"/>
        <v>0</v>
      </c>
      <c r="I10" s="225">
        <f t="shared" si="5"/>
        <v>0</v>
      </c>
      <c r="J10" s="197"/>
      <c r="K10" s="224">
        <f t="shared" si="0"/>
        <v>626.36818316557242</v>
      </c>
      <c r="L10" s="224">
        <f t="shared" si="1"/>
        <v>51.718473839359191</v>
      </c>
      <c r="M10" s="224">
        <f t="shared" si="2"/>
        <v>574.64970932621327</v>
      </c>
      <c r="N10" s="225">
        <v>230</v>
      </c>
      <c r="O10" s="225">
        <f>基准地下室土建清单!O79</f>
        <v>253.22330097087348</v>
      </c>
      <c r="P10" s="225">
        <f>基准地下室土建清单!P79</f>
        <v>39.185525689320379</v>
      </c>
      <c r="Q10" s="225">
        <f>基准地下室土建清单!Q79</f>
        <v>0</v>
      </c>
      <c r="R10" s="226">
        <v>0.1</v>
      </c>
      <c r="S10" s="227">
        <f t="shared" si="3"/>
        <v>52.240882666019388</v>
      </c>
      <c r="T10" s="343" t="s">
        <v>339</v>
      </c>
      <c r="U10" s="264"/>
      <c r="V10" s="8"/>
      <c r="W10" s="8"/>
      <c r="X10" s="8"/>
      <c r="Y10" s="8"/>
    </row>
    <row r="11" spans="1:25" ht="136.5" outlineLevel="1">
      <c r="A11" s="221">
        <v>6</v>
      </c>
      <c r="B11" s="221">
        <v>2</v>
      </c>
      <c r="C11" s="222" t="s">
        <v>337</v>
      </c>
      <c r="D11" s="230" t="s">
        <v>338</v>
      </c>
      <c r="E11" s="222" t="s">
        <v>333</v>
      </c>
      <c r="F11" s="221" t="s">
        <v>162</v>
      </c>
      <c r="G11" s="225">
        <v>0</v>
      </c>
      <c r="H11" s="225">
        <f t="shared" si="4"/>
        <v>0</v>
      </c>
      <c r="I11" s="225">
        <f t="shared" si="5"/>
        <v>0</v>
      </c>
      <c r="J11" s="197"/>
      <c r="K11" s="224">
        <f t="shared" si="0"/>
        <v>655.14418316557249</v>
      </c>
      <c r="L11" s="224">
        <f t="shared" si="1"/>
        <v>54.094473839359189</v>
      </c>
      <c r="M11" s="224">
        <f t="shared" si="2"/>
        <v>601.04970932621325</v>
      </c>
      <c r="N11" s="225">
        <v>230</v>
      </c>
      <c r="O11" s="225">
        <f>基准地下室土建清单!O80</f>
        <v>253.22330097087348</v>
      </c>
      <c r="P11" s="225">
        <f>基准地下室土建清单!P80</f>
        <v>63.185525689320379</v>
      </c>
      <c r="Q11" s="225">
        <f>基准地下室土建清单!Q80</f>
        <v>0</v>
      </c>
      <c r="R11" s="226">
        <v>0.1</v>
      </c>
      <c r="S11" s="227">
        <f t="shared" si="3"/>
        <v>54.640882666019394</v>
      </c>
      <c r="T11" s="343" t="s">
        <v>339</v>
      </c>
      <c r="U11" s="264"/>
      <c r="V11" s="8"/>
      <c r="W11" s="8"/>
      <c r="X11" s="8"/>
      <c r="Y11" s="8"/>
    </row>
    <row r="12" spans="1:25" ht="136.5" outlineLevel="1">
      <c r="A12" s="221">
        <v>7</v>
      </c>
      <c r="B12" s="221">
        <v>2</v>
      </c>
      <c r="C12" s="266" t="s">
        <v>702</v>
      </c>
      <c r="D12" s="266" t="s">
        <v>703</v>
      </c>
      <c r="E12" s="222" t="s">
        <v>333</v>
      </c>
      <c r="F12" s="221" t="s">
        <v>162</v>
      </c>
      <c r="G12" s="225">
        <v>3616.9811898246999</v>
      </c>
      <c r="H12" s="225">
        <f t="shared" si="4"/>
        <v>2369644.1871329434</v>
      </c>
      <c r="I12" s="225">
        <f t="shared" si="5"/>
        <v>2369644.1871329434</v>
      </c>
      <c r="J12" s="197"/>
      <c r="K12" s="224">
        <f t="shared" si="0"/>
        <v>655.14418316557249</v>
      </c>
      <c r="L12" s="224">
        <f t="shared" si="1"/>
        <v>54.094473839359189</v>
      </c>
      <c r="M12" s="224">
        <f t="shared" si="2"/>
        <v>601.04970932621325</v>
      </c>
      <c r="N12" s="225">
        <v>230</v>
      </c>
      <c r="O12" s="225">
        <f>基准地下室土建清单!O80</f>
        <v>253.22330097087348</v>
      </c>
      <c r="P12" s="225">
        <f>基准地下室土建清单!P80</f>
        <v>63.185525689320379</v>
      </c>
      <c r="Q12" s="225">
        <f>基准地下室土建清单!Q81</f>
        <v>0</v>
      </c>
      <c r="R12" s="226">
        <v>0.1</v>
      </c>
      <c r="S12" s="227">
        <f t="shared" si="3"/>
        <v>54.640882666019394</v>
      </c>
      <c r="T12" s="343" t="s">
        <v>339</v>
      </c>
      <c r="U12" s="264"/>
      <c r="V12" s="8"/>
      <c r="W12" s="8"/>
      <c r="X12" s="8"/>
      <c r="Y12" s="8"/>
    </row>
    <row r="13" spans="1:25" ht="126" outlineLevel="1">
      <c r="A13" s="221">
        <v>8</v>
      </c>
      <c r="B13" s="221">
        <v>2</v>
      </c>
      <c r="C13" s="222" t="s">
        <v>340</v>
      </c>
      <c r="D13" s="230" t="s">
        <v>704</v>
      </c>
      <c r="E13" s="222" t="s">
        <v>333</v>
      </c>
      <c r="F13" s="221" t="s">
        <v>162</v>
      </c>
      <c r="G13" s="225">
        <v>0</v>
      </c>
      <c r="H13" s="225">
        <f t="shared" ref="H13:H33" si="6">G13*K13</f>
        <v>0</v>
      </c>
      <c r="I13" s="225">
        <f t="shared" ref="I13:I33" si="7">G13*K13*(1+J13)</f>
        <v>0</v>
      </c>
      <c r="J13" s="197"/>
      <c r="K13" s="224">
        <f t="shared" ref="K13:K30" si="8">L13+M13</f>
        <v>607.48623515244685</v>
      </c>
      <c r="L13" s="224">
        <f t="shared" ref="L13:L30" si="9">M13*0.09</f>
        <v>50.159413911669915</v>
      </c>
      <c r="M13" s="224">
        <f t="shared" ref="M13:M30" si="10">N13+O13+P13+Q13+S13</f>
        <v>557.32682124077689</v>
      </c>
      <c r="N13" s="225">
        <v>230</v>
      </c>
      <c r="O13" s="225">
        <f>基准地下室土建清单!O81</f>
        <v>239.0679611650487</v>
      </c>
      <c r="P13" s="225">
        <f>基准地下室土建清单!P81</f>
        <v>37.592785417475724</v>
      </c>
      <c r="Q13" s="225">
        <f>基准地下室土建清单!Q81</f>
        <v>0</v>
      </c>
      <c r="R13" s="226">
        <v>0.1</v>
      </c>
      <c r="S13" s="227">
        <f t="shared" ref="S13:S30" si="11">SUM(N13:Q13)*R13</f>
        <v>50.666074658252448</v>
      </c>
      <c r="T13" s="342" t="s">
        <v>334</v>
      </c>
      <c r="U13" s="220"/>
      <c r="V13" s="8"/>
      <c r="W13" s="8"/>
      <c r="X13" s="8"/>
      <c r="Y13" s="8"/>
    </row>
    <row r="14" spans="1:25" ht="136.5" outlineLevel="1">
      <c r="A14" s="221">
        <v>9</v>
      </c>
      <c r="B14" s="221">
        <v>2</v>
      </c>
      <c r="C14" s="266" t="s">
        <v>340</v>
      </c>
      <c r="D14" s="266" t="s">
        <v>342</v>
      </c>
      <c r="E14" s="267" t="s">
        <v>333</v>
      </c>
      <c r="F14" s="267" t="s">
        <v>162</v>
      </c>
      <c r="G14" s="225">
        <v>0</v>
      </c>
      <c r="H14" s="225">
        <f t="shared" si="6"/>
        <v>0</v>
      </c>
      <c r="I14" s="225">
        <f t="shared" si="7"/>
        <v>0</v>
      </c>
      <c r="J14" s="197"/>
      <c r="K14" s="224">
        <f t="shared" si="8"/>
        <v>635.06323515244674</v>
      </c>
      <c r="L14" s="224">
        <f t="shared" si="9"/>
        <v>52.436413911669916</v>
      </c>
      <c r="M14" s="224">
        <f t="shared" si="10"/>
        <v>582.62682124077685</v>
      </c>
      <c r="N14" s="225">
        <v>230</v>
      </c>
      <c r="O14" s="225">
        <f>基准地下室土建清单!O82</f>
        <v>239.0679611650487</v>
      </c>
      <c r="P14" s="225">
        <f>基准地下室土建清单!P82</f>
        <v>60.592785417475724</v>
      </c>
      <c r="Q14" s="225">
        <f>基准地下室土建清单!Q82</f>
        <v>0</v>
      </c>
      <c r="R14" s="226">
        <v>0.1</v>
      </c>
      <c r="S14" s="227">
        <f t="shared" si="11"/>
        <v>52.966074658252445</v>
      </c>
      <c r="T14" s="342" t="s">
        <v>336</v>
      </c>
      <c r="U14" s="220"/>
      <c r="V14" s="8"/>
      <c r="W14" s="8"/>
      <c r="X14" s="8"/>
      <c r="Y14" s="8"/>
    </row>
    <row r="15" spans="1:25" ht="126" outlineLevel="1">
      <c r="A15" s="221">
        <v>10</v>
      </c>
      <c r="B15" s="221">
        <v>2</v>
      </c>
      <c r="C15" s="222" t="s">
        <v>343</v>
      </c>
      <c r="D15" s="230" t="s">
        <v>705</v>
      </c>
      <c r="E15" s="222" t="s">
        <v>333</v>
      </c>
      <c r="F15" s="221" t="s">
        <v>162</v>
      </c>
      <c r="G15" s="225">
        <v>0</v>
      </c>
      <c r="H15" s="225">
        <f t="shared" si="6"/>
        <v>0</v>
      </c>
      <c r="I15" s="225">
        <f t="shared" si="7"/>
        <v>0</v>
      </c>
      <c r="J15" s="197"/>
      <c r="K15" s="224">
        <f t="shared" si="8"/>
        <v>633.88751670584497</v>
      </c>
      <c r="L15" s="224">
        <f t="shared" si="9"/>
        <v>52.339336241767015</v>
      </c>
      <c r="M15" s="224">
        <f t="shared" si="10"/>
        <v>581.54818046407797</v>
      </c>
      <c r="N15" s="225">
        <v>230</v>
      </c>
      <c r="O15" s="225">
        <f>基准地下室土建清单!O83</f>
        <v>261.08737864077693</v>
      </c>
      <c r="P15" s="225">
        <f>基准地下室土建清单!P83</f>
        <v>37.592785417475724</v>
      </c>
      <c r="Q15" s="225">
        <f>基准地下室土建清单!Q83</f>
        <v>0</v>
      </c>
      <c r="R15" s="226">
        <v>0.1</v>
      </c>
      <c r="S15" s="227">
        <f t="shared" si="11"/>
        <v>52.868016405825273</v>
      </c>
      <c r="T15" s="342" t="s">
        <v>334</v>
      </c>
      <c r="U15" s="220"/>
      <c r="V15" s="8"/>
      <c r="W15" s="8"/>
      <c r="X15" s="8"/>
      <c r="Y15" s="8"/>
    </row>
    <row r="16" spans="1:25" ht="136.5" outlineLevel="1">
      <c r="A16" s="221">
        <v>11</v>
      </c>
      <c r="B16" s="221">
        <v>2</v>
      </c>
      <c r="C16" s="266" t="s">
        <v>343</v>
      </c>
      <c r="D16" s="266" t="s">
        <v>345</v>
      </c>
      <c r="E16" s="267" t="s">
        <v>333</v>
      </c>
      <c r="F16" s="267" t="s">
        <v>162</v>
      </c>
      <c r="G16" s="225">
        <v>0</v>
      </c>
      <c r="H16" s="225">
        <f t="shared" si="6"/>
        <v>0</v>
      </c>
      <c r="I16" s="225">
        <f t="shared" si="7"/>
        <v>0</v>
      </c>
      <c r="J16" s="197"/>
      <c r="K16" s="224">
        <f t="shared" si="8"/>
        <v>661.46451670584497</v>
      </c>
      <c r="L16" s="224">
        <f t="shared" si="9"/>
        <v>54.616336241767009</v>
      </c>
      <c r="M16" s="224">
        <f t="shared" si="10"/>
        <v>606.84818046407793</v>
      </c>
      <c r="N16" s="225">
        <v>230</v>
      </c>
      <c r="O16" s="225">
        <f>基准地下室土建清单!O84</f>
        <v>261.08737864077693</v>
      </c>
      <c r="P16" s="225">
        <f>基准地下室土建清单!P84</f>
        <v>60.592785417475724</v>
      </c>
      <c r="Q16" s="225">
        <f>基准地下室土建清单!Q84</f>
        <v>0</v>
      </c>
      <c r="R16" s="226">
        <v>0.1</v>
      </c>
      <c r="S16" s="227">
        <f t="shared" si="11"/>
        <v>55.16801640582527</v>
      </c>
      <c r="T16" s="342" t="s">
        <v>336</v>
      </c>
      <c r="U16" s="220"/>
      <c r="V16" s="8"/>
      <c r="W16" s="8"/>
      <c r="X16" s="8"/>
      <c r="Y16" s="8"/>
    </row>
    <row r="17" spans="1:25" ht="105" outlineLevel="1">
      <c r="A17" s="221">
        <v>12</v>
      </c>
      <c r="B17" s="221">
        <v>2</v>
      </c>
      <c r="C17" s="222" t="s">
        <v>346</v>
      </c>
      <c r="D17" s="230" t="s">
        <v>706</v>
      </c>
      <c r="E17" s="222" t="s">
        <v>333</v>
      </c>
      <c r="F17" s="221" t="s">
        <v>162</v>
      </c>
      <c r="G17" s="225">
        <v>0</v>
      </c>
      <c r="H17" s="225">
        <f t="shared" si="6"/>
        <v>0</v>
      </c>
      <c r="I17" s="225">
        <f t="shared" si="7"/>
        <v>0</v>
      </c>
      <c r="J17" s="197"/>
      <c r="K17" s="224">
        <f t="shared" si="8"/>
        <v>660.19550374330083</v>
      </c>
      <c r="L17" s="224">
        <f t="shared" si="9"/>
        <v>54.51155535495144</v>
      </c>
      <c r="M17" s="224">
        <f t="shared" si="10"/>
        <v>605.68394838834934</v>
      </c>
      <c r="N17" s="225">
        <v>230</v>
      </c>
      <c r="O17" s="225">
        <f>基准地下室土建清单!O85</f>
        <v>268.42718446601936</v>
      </c>
      <c r="P17" s="225">
        <f>基准地下室土建清单!P85</f>
        <v>52.194586796116482</v>
      </c>
      <c r="Q17" s="225">
        <f>基准地下室土建清单!Q85</f>
        <v>0</v>
      </c>
      <c r="R17" s="226">
        <v>0.1</v>
      </c>
      <c r="S17" s="227">
        <f t="shared" si="11"/>
        <v>55.062177126213584</v>
      </c>
      <c r="T17" s="342" t="s">
        <v>351</v>
      </c>
      <c r="U17" s="220"/>
      <c r="V17" s="8"/>
      <c r="W17" s="8"/>
      <c r="X17" s="8"/>
      <c r="Y17" s="8"/>
    </row>
    <row r="18" spans="1:25" ht="105" outlineLevel="1">
      <c r="A18" s="221">
        <v>13</v>
      </c>
      <c r="B18" s="221">
        <v>2</v>
      </c>
      <c r="C18" s="222" t="s">
        <v>346</v>
      </c>
      <c r="D18" s="230" t="s">
        <v>707</v>
      </c>
      <c r="E18" s="222" t="s">
        <v>333</v>
      </c>
      <c r="F18" s="221" t="s">
        <v>162</v>
      </c>
      <c r="G18" s="225">
        <v>0</v>
      </c>
      <c r="H18" s="225">
        <f t="shared" si="6"/>
        <v>0</v>
      </c>
      <c r="I18" s="225">
        <f t="shared" si="7"/>
        <v>0</v>
      </c>
      <c r="J18" s="197"/>
      <c r="K18" s="224">
        <f t="shared" si="8"/>
        <v>666.78841396242706</v>
      </c>
      <c r="L18" s="224">
        <f t="shared" si="9"/>
        <v>55.055924088640765</v>
      </c>
      <c r="M18" s="224">
        <f t="shared" si="10"/>
        <v>611.73248987378634</v>
      </c>
      <c r="N18" s="225">
        <v>230</v>
      </c>
      <c r="O18" s="225">
        <f>基准地下室土建清单!O86</f>
        <v>268.42718446601936</v>
      </c>
      <c r="P18" s="225">
        <f>基准地下室土建清单!P86</f>
        <v>57.6932608737864</v>
      </c>
      <c r="Q18" s="225">
        <f>基准地下室土建清单!Q86</f>
        <v>0</v>
      </c>
      <c r="R18" s="226">
        <v>0.1</v>
      </c>
      <c r="S18" s="227">
        <f t="shared" si="11"/>
        <v>55.61204453398058</v>
      </c>
      <c r="T18" s="342" t="s">
        <v>353</v>
      </c>
      <c r="U18" s="220"/>
      <c r="V18" s="8"/>
      <c r="W18" s="8"/>
      <c r="X18" s="8"/>
      <c r="Y18" s="8"/>
    </row>
    <row r="19" spans="1:25" ht="105" outlineLevel="1">
      <c r="A19" s="221">
        <v>14</v>
      </c>
      <c r="B19" s="221">
        <v>2</v>
      </c>
      <c r="C19" s="222" t="s">
        <v>349</v>
      </c>
      <c r="D19" s="230" t="s">
        <v>708</v>
      </c>
      <c r="E19" s="222" t="s">
        <v>333</v>
      </c>
      <c r="F19" s="221" t="s">
        <v>162</v>
      </c>
      <c r="G19" s="225">
        <v>0</v>
      </c>
      <c r="H19" s="225">
        <f t="shared" si="6"/>
        <v>0</v>
      </c>
      <c r="I19" s="225">
        <f t="shared" si="7"/>
        <v>0</v>
      </c>
      <c r="J19" s="197"/>
      <c r="K19" s="224">
        <f t="shared" si="8"/>
        <v>702.16050374330075</v>
      </c>
      <c r="L19" s="224">
        <f t="shared" si="9"/>
        <v>57.976555354951437</v>
      </c>
      <c r="M19" s="224">
        <f t="shared" si="10"/>
        <v>644.18394838834934</v>
      </c>
      <c r="N19" s="225">
        <v>230</v>
      </c>
      <c r="O19" s="225">
        <f>基准地下室土建清单!O87</f>
        <v>268.42718446601936</v>
      </c>
      <c r="P19" s="225">
        <f>基准地下室土建清单!P87</f>
        <v>87.194586796116482</v>
      </c>
      <c r="Q19" s="225">
        <f>基准地下室土建清单!Q87</f>
        <v>0</v>
      </c>
      <c r="R19" s="226">
        <v>0.1</v>
      </c>
      <c r="S19" s="227">
        <f t="shared" si="11"/>
        <v>58.562177126213584</v>
      </c>
      <c r="T19" s="342" t="s">
        <v>351</v>
      </c>
      <c r="U19" s="220"/>
      <c r="V19" s="8"/>
      <c r="W19" s="8"/>
      <c r="X19" s="8"/>
      <c r="Y19" s="8"/>
    </row>
    <row r="20" spans="1:25" ht="105" outlineLevel="1">
      <c r="A20" s="221">
        <v>15</v>
      </c>
      <c r="B20" s="221">
        <v>2</v>
      </c>
      <c r="C20" s="222" t="s">
        <v>349</v>
      </c>
      <c r="D20" s="230" t="s">
        <v>352</v>
      </c>
      <c r="E20" s="222" t="s">
        <v>333</v>
      </c>
      <c r="F20" s="221" t="s">
        <v>162</v>
      </c>
      <c r="G20" s="225">
        <v>0</v>
      </c>
      <c r="H20" s="225">
        <f t="shared" si="6"/>
        <v>0</v>
      </c>
      <c r="I20" s="225">
        <f t="shared" si="7"/>
        <v>0</v>
      </c>
      <c r="J20" s="197"/>
      <c r="K20" s="224">
        <f t="shared" si="8"/>
        <v>708.75341396242709</v>
      </c>
      <c r="L20" s="224">
        <f t="shared" si="9"/>
        <v>58.520924088640768</v>
      </c>
      <c r="M20" s="224">
        <f t="shared" si="10"/>
        <v>650.23248987378634</v>
      </c>
      <c r="N20" s="225">
        <v>230</v>
      </c>
      <c r="O20" s="225">
        <f>基准地下室土建清单!O88</f>
        <v>268.42718446601936</v>
      </c>
      <c r="P20" s="225">
        <f>基准地下室土建清单!P88</f>
        <v>92.6932608737864</v>
      </c>
      <c r="Q20" s="225">
        <f>基准地下室土建清单!Q88</f>
        <v>0</v>
      </c>
      <c r="R20" s="226">
        <v>0.1</v>
      </c>
      <c r="S20" s="227">
        <f t="shared" si="11"/>
        <v>59.11204453398058</v>
      </c>
      <c r="T20" s="342" t="s">
        <v>353</v>
      </c>
      <c r="U20" s="220"/>
      <c r="V20" s="8"/>
      <c r="W20" s="8"/>
      <c r="X20" s="8"/>
      <c r="Y20" s="8"/>
    </row>
    <row r="21" spans="1:25" ht="105" outlineLevel="1">
      <c r="A21" s="221">
        <v>16</v>
      </c>
      <c r="B21" s="221">
        <v>2</v>
      </c>
      <c r="C21" s="222" t="s">
        <v>354</v>
      </c>
      <c r="D21" s="230" t="s">
        <v>355</v>
      </c>
      <c r="E21" s="222" t="s">
        <v>333</v>
      </c>
      <c r="F21" s="221" t="s">
        <v>162</v>
      </c>
      <c r="G21" s="225">
        <v>0</v>
      </c>
      <c r="H21" s="225">
        <f t="shared" si="6"/>
        <v>0</v>
      </c>
      <c r="I21" s="225">
        <f t="shared" si="7"/>
        <v>0</v>
      </c>
      <c r="J21" s="197"/>
      <c r="K21" s="224">
        <f t="shared" si="8"/>
        <v>633.40714019619406</v>
      </c>
      <c r="L21" s="224">
        <f t="shared" si="9"/>
        <v>52.299672126291249</v>
      </c>
      <c r="M21" s="224">
        <f t="shared" si="10"/>
        <v>581.10746806990278</v>
      </c>
      <c r="N21" s="225">
        <v>230</v>
      </c>
      <c r="O21" s="225">
        <f>基准地下室土建清单!O89</f>
        <v>247.92233009708733</v>
      </c>
      <c r="P21" s="225">
        <f>基准地下室土建清单!P89</f>
        <v>50.357186330097079</v>
      </c>
      <c r="Q21" s="225">
        <f>基准地下室土建清单!Q89</f>
        <v>0</v>
      </c>
      <c r="R21" s="226">
        <v>0.1</v>
      </c>
      <c r="S21" s="227">
        <f t="shared" si="11"/>
        <v>52.827951642718439</v>
      </c>
      <c r="T21" s="342" t="s">
        <v>2087</v>
      </c>
      <c r="U21" s="220"/>
      <c r="V21" s="8"/>
      <c r="W21" s="8"/>
      <c r="X21" s="8"/>
      <c r="Y21" s="8"/>
    </row>
    <row r="22" spans="1:25" ht="105" outlineLevel="1">
      <c r="A22" s="221">
        <v>17</v>
      </c>
      <c r="B22" s="221">
        <v>2</v>
      </c>
      <c r="C22" s="222" t="s">
        <v>354</v>
      </c>
      <c r="D22" s="230" t="s">
        <v>357</v>
      </c>
      <c r="E22" s="222" t="s">
        <v>333</v>
      </c>
      <c r="F22" s="221" t="s">
        <v>162</v>
      </c>
      <c r="G22" s="225">
        <v>0</v>
      </c>
      <c r="H22" s="225">
        <f t="shared" si="6"/>
        <v>0</v>
      </c>
      <c r="I22" s="225">
        <f t="shared" si="7"/>
        <v>0</v>
      </c>
      <c r="J22" s="197"/>
      <c r="K22" s="224">
        <f t="shared" si="8"/>
        <v>639.86953917219398</v>
      </c>
      <c r="L22" s="224">
        <f t="shared" si="9"/>
        <v>52.833264702291245</v>
      </c>
      <c r="M22" s="224">
        <f t="shared" si="10"/>
        <v>587.03627446990276</v>
      </c>
      <c r="N22" s="225">
        <v>230</v>
      </c>
      <c r="O22" s="225">
        <f>基准地下室土建清单!O90</f>
        <v>247.92233009708733</v>
      </c>
      <c r="P22" s="225">
        <f>基准地下室土建清单!P90</f>
        <v>55.747010330097069</v>
      </c>
      <c r="Q22" s="225">
        <f>基准地下室土建清单!Q90</f>
        <v>0</v>
      </c>
      <c r="R22" s="226">
        <v>0.1</v>
      </c>
      <c r="S22" s="227">
        <f t="shared" si="11"/>
        <v>53.366934042718441</v>
      </c>
      <c r="T22" s="222" t="s">
        <v>358</v>
      </c>
      <c r="U22" s="220"/>
      <c r="V22" s="8"/>
      <c r="W22" s="8"/>
      <c r="X22" s="8"/>
      <c r="Y22" s="8"/>
    </row>
    <row r="23" spans="1:25" ht="105" outlineLevel="1">
      <c r="A23" s="221">
        <v>18</v>
      </c>
      <c r="B23" s="221">
        <v>2</v>
      </c>
      <c r="C23" s="222" t="s">
        <v>354</v>
      </c>
      <c r="D23" s="230" t="s">
        <v>359</v>
      </c>
      <c r="E23" s="222" t="s">
        <v>333</v>
      </c>
      <c r="F23" s="221" t="s">
        <v>162</v>
      </c>
      <c r="G23" s="225">
        <v>0</v>
      </c>
      <c r="H23" s="225">
        <f t="shared" si="6"/>
        <v>0</v>
      </c>
      <c r="I23" s="225">
        <f t="shared" si="7"/>
        <v>0</v>
      </c>
      <c r="J23" s="197"/>
      <c r="K23" s="224">
        <f t="shared" si="8"/>
        <v>674.17314019619414</v>
      </c>
      <c r="L23" s="224">
        <f t="shared" si="9"/>
        <v>55.665672126291255</v>
      </c>
      <c r="M23" s="224">
        <f t="shared" si="10"/>
        <v>618.50746806990287</v>
      </c>
      <c r="N23" s="225">
        <v>230</v>
      </c>
      <c r="O23" s="225">
        <f>基准地下室土建清单!O91</f>
        <v>247.92233009708733</v>
      </c>
      <c r="P23" s="225">
        <f>基准地下室土建清单!P91</f>
        <v>84.357186330097079</v>
      </c>
      <c r="Q23" s="225">
        <f>基准地下室土建清单!Q91</f>
        <v>0</v>
      </c>
      <c r="R23" s="226">
        <v>0.1</v>
      </c>
      <c r="S23" s="227">
        <f t="shared" si="11"/>
        <v>56.227951642718438</v>
      </c>
      <c r="T23" s="222" t="s">
        <v>360</v>
      </c>
      <c r="U23" s="220"/>
      <c r="V23" s="8"/>
      <c r="W23" s="8"/>
      <c r="X23" s="8"/>
      <c r="Y23" s="8"/>
    </row>
    <row r="24" spans="1:25" ht="105" outlineLevel="1">
      <c r="A24" s="221">
        <v>19</v>
      </c>
      <c r="B24" s="221">
        <v>2</v>
      </c>
      <c r="C24" s="222" t="s">
        <v>354</v>
      </c>
      <c r="D24" s="230" t="s">
        <v>361</v>
      </c>
      <c r="E24" s="222" t="s">
        <v>333</v>
      </c>
      <c r="F24" s="221" t="s">
        <v>162</v>
      </c>
      <c r="G24" s="225">
        <v>0</v>
      </c>
      <c r="H24" s="225">
        <f t="shared" si="6"/>
        <v>0</v>
      </c>
      <c r="I24" s="225">
        <f t="shared" si="7"/>
        <v>0</v>
      </c>
      <c r="J24" s="197"/>
      <c r="K24" s="224">
        <f t="shared" si="8"/>
        <v>680.63553917219394</v>
      </c>
      <c r="L24" s="224">
        <f t="shared" si="9"/>
        <v>56.199264702291245</v>
      </c>
      <c r="M24" s="224">
        <f t="shared" si="10"/>
        <v>624.43627446990274</v>
      </c>
      <c r="N24" s="225">
        <v>230</v>
      </c>
      <c r="O24" s="225">
        <f>基准地下室土建清单!O92</f>
        <v>247.92233009708733</v>
      </c>
      <c r="P24" s="225">
        <f>基准地下室土建清单!P92</f>
        <v>89.747010330097069</v>
      </c>
      <c r="Q24" s="225">
        <f>基准地下室土建清单!Q92</f>
        <v>0</v>
      </c>
      <c r="R24" s="226">
        <v>0.1</v>
      </c>
      <c r="S24" s="227">
        <f t="shared" si="11"/>
        <v>56.766934042718439</v>
      </c>
      <c r="T24" s="222" t="s">
        <v>362</v>
      </c>
      <c r="U24" s="220"/>
      <c r="V24" s="8"/>
      <c r="W24" s="8"/>
      <c r="X24" s="8"/>
      <c r="Y24" s="8"/>
    </row>
    <row r="25" spans="1:25" ht="105" outlineLevel="1">
      <c r="A25" s="221">
        <v>20</v>
      </c>
      <c r="B25" s="221">
        <v>2</v>
      </c>
      <c r="C25" s="222" t="s">
        <v>363</v>
      </c>
      <c r="D25" s="230" t="s">
        <v>364</v>
      </c>
      <c r="E25" s="222" t="s">
        <v>333</v>
      </c>
      <c r="F25" s="221" t="s">
        <v>162</v>
      </c>
      <c r="G25" s="225">
        <v>0</v>
      </c>
      <c r="H25" s="225">
        <f t="shared" si="6"/>
        <v>0</v>
      </c>
      <c r="I25" s="225">
        <f t="shared" si="7"/>
        <v>0</v>
      </c>
      <c r="J25" s="197"/>
      <c r="K25" s="224">
        <f t="shared" si="8"/>
        <v>663.93086137047567</v>
      </c>
      <c r="L25" s="224">
        <f t="shared" si="9"/>
        <v>54.819979379213585</v>
      </c>
      <c r="M25" s="224">
        <f t="shared" si="10"/>
        <v>609.11088199126209</v>
      </c>
      <c r="N25" s="225">
        <v>250</v>
      </c>
      <c r="O25" s="225">
        <f>基准地下室土建清单!O93</f>
        <v>256.96310679611645</v>
      </c>
      <c r="P25" s="225">
        <f>基准地下室土建清单!P93</f>
        <v>46.774058650485429</v>
      </c>
      <c r="Q25" s="225">
        <f>基准地下室土建清单!Q93</f>
        <v>0</v>
      </c>
      <c r="R25" s="226">
        <v>0.1</v>
      </c>
      <c r="S25" s="227">
        <f t="shared" si="11"/>
        <v>55.373716544660198</v>
      </c>
      <c r="T25" s="222" t="s">
        <v>2099</v>
      </c>
      <c r="U25" s="264"/>
      <c r="V25" s="8"/>
      <c r="W25" s="8"/>
      <c r="X25" s="8"/>
      <c r="Y25" s="8"/>
    </row>
    <row r="26" spans="1:25" ht="42" outlineLevel="1">
      <c r="A26" s="221">
        <v>21</v>
      </c>
      <c r="B26" s="221">
        <v>2</v>
      </c>
      <c r="C26" s="222" t="s">
        <v>363</v>
      </c>
      <c r="D26" s="230" t="s">
        <v>365</v>
      </c>
      <c r="E26" s="222" t="s">
        <v>333</v>
      </c>
      <c r="F26" s="221" t="s">
        <v>162</v>
      </c>
      <c r="G26" s="225">
        <v>0</v>
      </c>
      <c r="H26" s="225">
        <f t="shared" si="6"/>
        <v>0</v>
      </c>
      <c r="I26" s="225">
        <f t="shared" si="7"/>
        <v>0</v>
      </c>
      <c r="J26" s="197"/>
      <c r="K26" s="224">
        <f t="shared" si="8"/>
        <v>673.52286137047577</v>
      </c>
      <c r="L26" s="224">
        <f t="shared" si="9"/>
        <v>55.611979379213594</v>
      </c>
      <c r="M26" s="224">
        <f t="shared" si="10"/>
        <v>617.91088199126216</v>
      </c>
      <c r="N26" s="225">
        <v>250</v>
      </c>
      <c r="O26" s="225">
        <f>基准地下室土建清单!O94</f>
        <v>256.96310679611645</v>
      </c>
      <c r="P26" s="225">
        <f>基准地下室土建清单!P94</f>
        <v>54.774058650485429</v>
      </c>
      <c r="Q26" s="225">
        <f>基准地下室土建清单!Q94</f>
        <v>0</v>
      </c>
      <c r="R26" s="226">
        <v>0.1</v>
      </c>
      <c r="S26" s="227">
        <f t="shared" si="11"/>
        <v>56.173716544660195</v>
      </c>
      <c r="T26" s="343"/>
      <c r="U26" s="264"/>
      <c r="V26" s="8"/>
      <c r="W26" s="8"/>
      <c r="X26" s="8"/>
      <c r="Y26" s="8"/>
    </row>
    <row r="27" spans="1:25" ht="105" outlineLevel="1">
      <c r="A27" s="221">
        <v>22</v>
      </c>
      <c r="B27" s="221">
        <v>2</v>
      </c>
      <c r="C27" s="222" t="s">
        <v>363</v>
      </c>
      <c r="D27" s="221" t="s">
        <v>366</v>
      </c>
      <c r="E27" s="221" t="s">
        <v>2100</v>
      </c>
      <c r="F27" s="221" t="s">
        <v>162</v>
      </c>
      <c r="G27" s="225">
        <v>1055.7999265625001</v>
      </c>
      <c r="H27" s="225">
        <f t="shared" si="6"/>
        <v>740221.18214792723</v>
      </c>
      <c r="I27" s="225">
        <f t="shared" si="7"/>
        <v>740221.18214792723</v>
      </c>
      <c r="J27" s="197"/>
      <c r="K27" s="224">
        <f t="shared" si="8"/>
        <v>701.09986137047565</v>
      </c>
      <c r="L27" s="224">
        <f t="shared" si="9"/>
        <v>57.888979379213588</v>
      </c>
      <c r="M27" s="224">
        <f t="shared" si="10"/>
        <v>643.21088199126211</v>
      </c>
      <c r="N27" s="225">
        <v>250</v>
      </c>
      <c r="O27" s="225">
        <f>基准地下室土建清单!O95</f>
        <v>256.96310679611645</v>
      </c>
      <c r="P27" s="225">
        <f>基准地下室土建清单!P95</f>
        <v>77.774058650485429</v>
      </c>
      <c r="Q27" s="225">
        <f>基准地下室土建清单!Q95</f>
        <v>0</v>
      </c>
      <c r="R27" s="226">
        <v>0.1</v>
      </c>
      <c r="S27" s="227">
        <f t="shared" si="11"/>
        <v>58.473716544660192</v>
      </c>
      <c r="T27" s="222" t="s">
        <v>367</v>
      </c>
      <c r="U27" s="264"/>
      <c r="V27" s="8"/>
      <c r="W27" s="8"/>
      <c r="X27" s="8"/>
      <c r="Y27" s="8"/>
    </row>
    <row r="28" spans="1:25" ht="31.5" outlineLevel="1">
      <c r="A28" s="221">
        <v>23</v>
      </c>
      <c r="B28" s="221">
        <v>2</v>
      </c>
      <c r="C28" s="222" t="s">
        <v>363</v>
      </c>
      <c r="D28" s="230" t="s">
        <v>368</v>
      </c>
      <c r="E28" s="268" t="s">
        <v>2097</v>
      </c>
      <c r="F28" s="269" t="s">
        <v>162</v>
      </c>
      <c r="G28" s="225">
        <v>0</v>
      </c>
      <c r="H28" s="225">
        <f t="shared" si="6"/>
        <v>0</v>
      </c>
      <c r="I28" s="225">
        <f t="shared" si="7"/>
        <v>0</v>
      </c>
      <c r="J28" s="197"/>
      <c r="K28" s="224">
        <f t="shared" si="8"/>
        <v>710.69186137047564</v>
      </c>
      <c r="L28" s="224">
        <f t="shared" si="9"/>
        <v>58.680979379213582</v>
      </c>
      <c r="M28" s="224">
        <f t="shared" si="10"/>
        <v>652.01088199126207</v>
      </c>
      <c r="N28" s="225">
        <v>250</v>
      </c>
      <c r="O28" s="225">
        <f>基准地下室土建清单!O96</f>
        <v>256.96310679611645</v>
      </c>
      <c r="P28" s="225">
        <f>基准地下室土建清单!P96</f>
        <v>85.774058650485429</v>
      </c>
      <c r="Q28" s="225">
        <f>基准地下室土建清单!Q96</f>
        <v>0</v>
      </c>
      <c r="R28" s="226">
        <v>0.1</v>
      </c>
      <c r="S28" s="227">
        <f t="shared" si="11"/>
        <v>59.273716544660196</v>
      </c>
      <c r="T28" s="343"/>
      <c r="U28" s="264"/>
      <c r="V28" s="8"/>
      <c r="W28" s="8"/>
      <c r="X28" s="8"/>
      <c r="Y28" s="8"/>
    </row>
    <row r="29" spans="1:25" ht="63" outlineLevel="1">
      <c r="A29" s="221">
        <v>24</v>
      </c>
      <c r="B29" s="221">
        <v>2</v>
      </c>
      <c r="C29" s="222" t="s">
        <v>370</v>
      </c>
      <c r="D29" s="230" t="s">
        <v>371</v>
      </c>
      <c r="E29" s="222" t="s">
        <v>333</v>
      </c>
      <c r="F29" s="221" t="s">
        <v>162</v>
      </c>
      <c r="G29" s="225">
        <v>0</v>
      </c>
      <c r="H29" s="225">
        <f t="shared" si="6"/>
        <v>0</v>
      </c>
      <c r="I29" s="225">
        <f t="shared" si="7"/>
        <v>0</v>
      </c>
      <c r="J29" s="197"/>
      <c r="K29" s="224">
        <f t="shared" si="8"/>
        <v>1734.8869385922324</v>
      </c>
      <c r="L29" s="224">
        <f t="shared" si="9"/>
        <v>143.24754538834947</v>
      </c>
      <c r="M29" s="224">
        <f t="shared" si="10"/>
        <v>1591.6393932038829</v>
      </c>
      <c r="N29" s="225">
        <v>250</v>
      </c>
      <c r="O29" s="225">
        <f>基准地下室土建清单!O97</f>
        <v>1083.4951456310675</v>
      </c>
      <c r="P29" s="225">
        <f>基准地下室土建清单!P97</f>
        <v>113.44975728155327</v>
      </c>
      <c r="Q29" s="225">
        <f>基准地下室土建清单!Q97</f>
        <v>0</v>
      </c>
      <c r="R29" s="226">
        <v>0.1</v>
      </c>
      <c r="S29" s="227">
        <f t="shared" si="11"/>
        <v>144.6944902912621</v>
      </c>
      <c r="T29" s="343" t="s">
        <v>372</v>
      </c>
      <c r="U29" s="264"/>
      <c r="V29" s="8"/>
      <c r="W29" s="8"/>
      <c r="X29" s="8"/>
      <c r="Y29" s="8"/>
    </row>
    <row r="30" spans="1:25" ht="147" outlineLevel="1">
      <c r="A30" s="221">
        <v>25</v>
      </c>
      <c r="B30" s="221">
        <v>2</v>
      </c>
      <c r="C30" s="222" t="s">
        <v>373</v>
      </c>
      <c r="D30" s="230" t="s">
        <v>374</v>
      </c>
      <c r="E30" s="222" t="s">
        <v>375</v>
      </c>
      <c r="F30" s="221" t="s">
        <v>162</v>
      </c>
      <c r="G30" s="225">
        <v>0</v>
      </c>
      <c r="H30" s="225">
        <f t="shared" si="6"/>
        <v>0</v>
      </c>
      <c r="I30" s="225">
        <f t="shared" si="7"/>
        <v>0</v>
      </c>
      <c r="J30" s="197"/>
      <c r="K30" s="224">
        <f t="shared" si="8"/>
        <v>810.69444425242671</v>
      </c>
      <c r="L30" s="224">
        <f t="shared" si="9"/>
        <v>66.938073378640738</v>
      </c>
      <c r="M30" s="224">
        <f t="shared" si="10"/>
        <v>743.75637087378595</v>
      </c>
      <c r="N30" s="225">
        <v>230</v>
      </c>
      <c r="O30" s="225">
        <f>基准地下室土建清单!O98</f>
        <v>435.72815533980537</v>
      </c>
      <c r="P30" s="225">
        <f>基准地下室土建清单!P98</f>
        <v>10.414</v>
      </c>
      <c r="Q30" s="225">
        <f>基准地下室土建清单!Q98</f>
        <v>0</v>
      </c>
      <c r="R30" s="226">
        <v>0.1</v>
      </c>
      <c r="S30" s="227">
        <f t="shared" si="11"/>
        <v>67.614215533980541</v>
      </c>
      <c r="T30" s="342" t="s">
        <v>709</v>
      </c>
      <c r="U30" s="264"/>
      <c r="V30" s="8"/>
      <c r="W30" s="8"/>
      <c r="X30" s="8"/>
      <c r="Y30" s="8"/>
    </row>
    <row r="31" spans="1:25" ht="136.5" outlineLevel="1">
      <c r="A31" s="221">
        <v>26</v>
      </c>
      <c r="B31" s="221">
        <v>2</v>
      </c>
      <c r="C31" s="266" t="s">
        <v>710</v>
      </c>
      <c r="D31" s="266" t="s">
        <v>711</v>
      </c>
      <c r="E31" s="267" t="s">
        <v>333</v>
      </c>
      <c r="F31" s="267" t="s">
        <v>162</v>
      </c>
      <c r="G31" s="225">
        <v>0</v>
      </c>
      <c r="H31" s="225">
        <f t="shared" si="6"/>
        <v>0</v>
      </c>
      <c r="I31" s="225">
        <f t="shared" si="7"/>
        <v>0</v>
      </c>
      <c r="J31" s="197"/>
      <c r="K31" s="224">
        <f t="shared" ref="K31" si="12">L31+M31</f>
        <v>633.04541073314965</v>
      </c>
      <c r="L31" s="224">
        <f t="shared" ref="L31:L53" si="13">M31*0.09</f>
        <v>52.269804555948134</v>
      </c>
      <c r="M31" s="224">
        <f t="shared" ref="M31" si="14">N31+O31+P31+Q31+S31</f>
        <v>580.77560617720155</v>
      </c>
      <c r="N31" s="225">
        <v>230</v>
      </c>
      <c r="O31" s="225">
        <f>基准地下室土建清单!O100</f>
        <v>267.69467693337822</v>
      </c>
      <c r="P31" s="225">
        <f>基准地下室土建清单!P100</f>
        <v>30.283146864077665</v>
      </c>
      <c r="Q31" s="225">
        <f>基准地下室土建清单!Q98</f>
        <v>0</v>
      </c>
      <c r="R31" s="226">
        <v>0.1</v>
      </c>
      <c r="S31" s="227">
        <f t="shared" ref="S31" si="15">SUM(N31:Q31)*R31</f>
        <v>52.797782379745598</v>
      </c>
      <c r="T31" s="342" t="s">
        <v>712</v>
      </c>
      <c r="U31" s="220"/>
    </row>
    <row r="32" spans="1:25" ht="136.5" outlineLevel="1">
      <c r="A32" s="221">
        <v>27</v>
      </c>
      <c r="B32" s="221">
        <v>2</v>
      </c>
      <c r="C32" s="222" t="s">
        <v>377</v>
      </c>
      <c r="D32" s="230" t="s">
        <v>378</v>
      </c>
      <c r="E32" s="222" t="s">
        <v>333</v>
      </c>
      <c r="F32" s="221" t="s">
        <v>162</v>
      </c>
      <c r="G32" s="225">
        <v>0</v>
      </c>
      <c r="H32" s="225">
        <f t="shared" si="6"/>
        <v>0</v>
      </c>
      <c r="I32" s="225">
        <f t="shared" si="7"/>
        <v>0</v>
      </c>
      <c r="J32" s="197"/>
      <c r="K32" s="224">
        <f t="shared" ref="K32:K53" si="16">L32+M32</f>
        <v>653.42841073314958</v>
      </c>
      <c r="L32" s="224">
        <f t="shared" si="13"/>
        <v>53.952804555948134</v>
      </c>
      <c r="M32" s="224">
        <f t="shared" ref="M32:M53" si="17">N32+O32+P32+Q32+S32</f>
        <v>599.47560617720148</v>
      </c>
      <c r="N32" s="225">
        <v>230</v>
      </c>
      <c r="O32" s="225">
        <f>基准地下室土建清单!O99</f>
        <v>267.69467693337822</v>
      </c>
      <c r="P32" s="225">
        <f>基准地下室土建清单!P99</f>
        <v>47.283146864077665</v>
      </c>
      <c r="Q32" s="225">
        <f>基准地下室土建清单!Q99</f>
        <v>0</v>
      </c>
      <c r="R32" s="226">
        <v>0.1</v>
      </c>
      <c r="S32" s="227">
        <f t="shared" ref="S32:S54" si="18">SUM(N32:Q32)*R32</f>
        <v>54.497782379745594</v>
      </c>
      <c r="T32" s="342" t="s">
        <v>379</v>
      </c>
      <c r="U32" s="220"/>
      <c r="V32" s="8"/>
      <c r="W32" s="8"/>
      <c r="X32" s="8"/>
      <c r="Y32" s="8"/>
    </row>
    <row r="33" spans="1:25" ht="136.5" outlineLevel="1">
      <c r="A33" s="221">
        <v>28</v>
      </c>
      <c r="B33" s="221">
        <v>2</v>
      </c>
      <c r="C33" s="222" t="s">
        <v>380</v>
      </c>
      <c r="D33" s="230" t="s">
        <v>381</v>
      </c>
      <c r="E33" s="222" t="s">
        <v>333</v>
      </c>
      <c r="F33" s="221" t="s">
        <v>162</v>
      </c>
      <c r="G33" s="225">
        <v>0</v>
      </c>
      <c r="H33" s="225">
        <f t="shared" si="6"/>
        <v>0</v>
      </c>
      <c r="I33" s="225">
        <f t="shared" si="7"/>
        <v>0</v>
      </c>
      <c r="J33" s="197"/>
      <c r="K33" s="224">
        <f t="shared" si="16"/>
        <v>633.04541073314965</v>
      </c>
      <c r="L33" s="224">
        <f t="shared" si="13"/>
        <v>52.269804555948134</v>
      </c>
      <c r="M33" s="224">
        <f t="shared" si="17"/>
        <v>580.77560617720155</v>
      </c>
      <c r="N33" s="225">
        <v>230</v>
      </c>
      <c r="O33" s="225">
        <f>基准地下室土建清单!O100</f>
        <v>267.69467693337822</v>
      </c>
      <c r="P33" s="225">
        <f>基准地下室土建清单!P100</f>
        <v>30.283146864077665</v>
      </c>
      <c r="Q33" s="225">
        <f>基准地下室土建清单!Q100</f>
        <v>0</v>
      </c>
      <c r="R33" s="226">
        <v>0.1</v>
      </c>
      <c r="S33" s="227">
        <f t="shared" si="18"/>
        <v>52.797782379745598</v>
      </c>
      <c r="T33" s="342" t="s">
        <v>712</v>
      </c>
      <c r="U33" s="220"/>
      <c r="V33" s="8"/>
      <c r="W33" s="8"/>
      <c r="X33" s="8"/>
      <c r="Y33" s="8"/>
    </row>
    <row r="34" spans="1:25" ht="13.5">
      <c r="A34" s="221"/>
      <c r="B34" s="221"/>
      <c r="C34" s="211" t="s">
        <v>248</v>
      </c>
      <c r="D34" s="230"/>
      <c r="E34" s="230"/>
      <c r="F34" s="221"/>
      <c r="G34" s="225">
        <v>0</v>
      </c>
      <c r="H34" s="344">
        <f>SUM(H6:H33)</f>
        <v>9671981.5201563872</v>
      </c>
      <c r="I34" s="344">
        <f>SUM(I6:I33)</f>
        <v>9671981.5201563872</v>
      </c>
      <c r="J34" s="221"/>
      <c r="K34" s="224">
        <f t="shared" si="16"/>
        <v>0</v>
      </c>
      <c r="L34" s="224">
        <f t="shared" si="13"/>
        <v>0</v>
      </c>
      <c r="M34" s="224">
        <f t="shared" si="17"/>
        <v>0</v>
      </c>
      <c r="N34" s="225"/>
      <c r="O34" s="225"/>
      <c r="P34" s="225"/>
      <c r="Q34" s="225"/>
      <c r="R34" s="226">
        <v>0.1</v>
      </c>
      <c r="S34" s="227">
        <f t="shared" si="18"/>
        <v>0</v>
      </c>
      <c r="T34" s="341"/>
      <c r="U34" s="264"/>
      <c r="V34" s="8"/>
      <c r="W34" s="8"/>
      <c r="X34" s="8"/>
      <c r="Y34" s="8"/>
    </row>
    <row r="35" spans="1:25" ht="21">
      <c r="A35" s="209" t="s">
        <v>59</v>
      </c>
      <c r="B35" s="209">
        <v>1</v>
      </c>
      <c r="C35" s="211" t="s">
        <v>383</v>
      </c>
      <c r="D35" s="211"/>
      <c r="E35" s="209"/>
      <c r="F35" s="221"/>
      <c r="G35" s="225">
        <v>0</v>
      </c>
      <c r="H35" s="221"/>
      <c r="I35" s="221"/>
      <c r="J35" s="221"/>
      <c r="K35" s="224">
        <f t="shared" si="16"/>
        <v>0</v>
      </c>
      <c r="L35" s="224">
        <f t="shared" si="13"/>
        <v>0</v>
      </c>
      <c r="M35" s="224">
        <f t="shared" si="17"/>
        <v>0</v>
      </c>
      <c r="N35" s="225"/>
      <c r="O35" s="225"/>
      <c r="P35" s="225"/>
      <c r="Q35" s="225"/>
      <c r="R35" s="226">
        <v>0.1</v>
      </c>
      <c r="S35" s="345">
        <f t="shared" si="18"/>
        <v>0</v>
      </c>
      <c r="T35" s="346"/>
      <c r="U35" s="347"/>
      <c r="V35" s="8"/>
      <c r="W35" s="8"/>
      <c r="X35" s="8"/>
      <c r="Y35" s="8"/>
    </row>
    <row r="36" spans="1:25" ht="42" outlineLevel="1">
      <c r="A36" s="221">
        <v>1</v>
      </c>
      <c r="B36" s="221">
        <v>2</v>
      </c>
      <c r="C36" s="230" t="s">
        <v>713</v>
      </c>
      <c r="D36" s="230" t="s">
        <v>385</v>
      </c>
      <c r="E36" s="230" t="s">
        <v>252</v>
      </c>
      <c r="F36" s="221" t="s">
        <v>162</v>
      </c>
      <c r="G36" s="225">
        <v>0</v>
      </c>
      <c r="H36" s="225">
        <f>G36*K36</f>
        <v>0</v>
      </c>
      <c r="I36" s="225">
        <f>G36*K36*(1+J36)</f>
        <v>0</v>
      </c>
      <c r="J36" s="197"/>
      <c r="K36" s="224">
        <f t="shared" si="16"/>
        <v>539.19006718446542</v>
      </c>
      <c r="L36" s="224">
        <f t="shared" si="13"/>
        <v>44.520280776698982</v>
      </c>
      <c r="M36" s="224">
        <f t="shared" si="17"/>
        <v>494.66978640776648</v>
      </c>
      <c r="N36" s="225">
        <v>35</v>
      </c>
      <c r="O36" s="225">
        <f>基准地下室土建清单!O103</f>
        <v>406.01941747572772</v>
      </c>
      <c r="P36" s="225">
        <f>基准地下室土建清单!P103</f>
        <v>0</v>
      </c>
      <c r="Q36" s="225">
        <f>基准地下室土建清单!Q103</f>
        <v>8.6803883495145548</v>
      </c>
      <c r="R36" s="226">
        <v>0.1</v>
      </c>
      <c r="S36" s="227">
        <f t="shared" si="18"/>
        <v>44.969980582524229</v>
      </c>
      <c r="T36" s="343" t="s">
        <v>222</v>
      </c>
      <c r="U36" s="220" t="s">
        <v>254</v>
      </c>
      <c r="V36" s="8"/>
      <c r="W36" s="8"/>
      <c r="X36" s="8"/>
      <c r="Y36" s="8"/>
    </row>
    <row r="37" spans="1:25" ht="42" outlineLevel="1">
      <c r="A37" s="221">
        <v>2</v>
      </c>
      <c r="B37" s="221">
        <v>2</v>
      </c>
      <c r="C37" s="230" t="s">
        <v>713</v>
      </c>
      <c r="D37" s="230" t="s">
        <v>386</v>
      </c>
      <c r="E37" s="230" t="s">
        <v>252</v>
      </c>
      <c r="F37" s="221" t="s">
        <v>162</v>
      </c>
      <c r="G37" s="225">
        <v>0</v>
      </c>
      <c r="H37" s="225">
        <f t="shared" ref="H37:H53" si="19">G37*K37</f>
        <v>0</v>
      </c>
      <c r="I37" s="225">
        <f t="shared" ref="I37:I53" si="20">G37*K37*(1+J37)</f>
        <v>0</v>
      </c>
      <c r="J37" s="197"/>
      <c r="K37" s="224">
        <f t="shared" si="16"/>
        <v>539.19006718446542</v>
      </c>
      <c r="L37" s="224">
        <f t="shared" si="13"/>
        <v>44.520280776698982</v>
      </c>
      <c r="M37" s="224">
        <f t="shared" si="17"/>
        <v>494.66978640776648</v>
      </c>
      <c r="N37" s="225">
        <v>35</v>
      </c>
      <c r="O37" s="225">
        <f>基准地下室土建清单!O104</f>
        <v>406.01941747572772</v>
      </c>
      <c r="P37" s="225">
        <f>基准地下室土建清单!P104</f>
        <v>0</v>
      </c>
      <c r="Q37" s="225">
        <f>基准地下室土建清单!Q104</f>
        <v>8.6803883495145548</v>
      </c>
      <c r="R37" s="226">
        <v>0.1</v>
      </c>
      <c r="S37" s="227">
        <f t="shared" si="18"/>
        <v>44.969980582524229</v>
      </c>
      <c r="T37" s="343" t="s">
        <v>222</v>
      </c>
      <c r="U37" s="220" t="s">
        <v>254</v>
      </c>
      <c r="V37" s="8"/>
      <c r="W37" s="8"/>
      <c r="X37" s="8"/>
      <c r="Y37" s="8"/>
    </row>
    <row r="38" spans="1:25" ht="42" outlineLevel="1">
      <c r="A38" s="221">
        <v>3</v>
      </c>
      <c r="B38" s="221">
        <v>2</v>
      </c>
      <c r="C38" s="230" t="s">
        <v>713</v>
      </c>
      <c r="D38" s="230" t="s">
        <v>387</v>
      </c>
      <c r="E38" s="230" t="s">
        <v>252</v>
      </c>
      <c r="F38" s="221" t="s">
        <v>162</v>
      </c>
      <c r="G38" s="225">
        <v>0</v>
      </c>
      <c r="H38" s="225">
        <f t="shared" si="19"/>
        <v>0</v>
      </c>
      <c r="I38" s="225">
        <f t="shared" si="20"/>
        <v>0</v>
      </c>
      <c r="J38" s="197"/>
      <c r="K38" s="224">
        <f t="shared" si="16"/>
        <v>539.19006718446542</v>
      </c>
      <c r="L38" s="224">
        <f t="shared" si="13"/>
        <v>44.520280776698982</v>
      </c>
      <c r="M38" s="224">
        <f t="shared" si="17"/>
        <v>494.66978640776648</v>
      </c>
      <c r="N38" s="225">
        <v>35</v>
      </c>
      <c r="O38" s="225">
        <f>基准地下室土建清单!O105</f>
        <v>406.01941747572772</v>
      </c>
      <c r="P38" s="225">
        <f>基准地下室土建清单!P105</f>
        <v>0</v>
      </c>
      <c r="Q38" s="225">
        <f>基准地下室土建清单!Q105</f>
        <v>8.6803883495145548</v>
      </c>
      <c r="R38" s="226">
        <v>0.1</v>
      </c>
      <c r="S38" s="227">
        <f t="shared" si="18"/>
        <v>44.969980582524229</v>
      </c>
      <c r="T38" s="343" t="s">
        <v>222</v>
      </c>
      <c r="U38" s="220" t="s">
        <v>254</v>
      </c>
      <c r="V38" s="8"/>
      <c r="W38" s="8"/>
      <c r="X38" s="8"/>
      <c r="Y38" s="8"/>
    </row>
    <row r="39" spans="1:25" ht="42" outlineLevel="1">
      <c r="A39" s="221">
        <v>4</v>
      </c>
      <c r="B39" s="221">
        <v>2</v>
      </c>
      <c r="C39" s="230" t="s">
        <v>713</v>
      </c>
      <c r="D39" s="230" t="s">
        <v>388</v>
      </c>
      <c r="E39" s="222" t="s">
        <v>252</v>
      </c>
      <c r="F39" s="221" t="s">
        <v>162</v>
      </c>
      <c r="G39" s="225">
        <v>0</v>
      </c>
      <c r="H39" s="225">
        <f t="shared" si="19"/>
        <v>0</v>
      </c>
      <c r="I39" s="225">
        <f t="shared" si="20"/>
        <v>0</v>
      </c>
      <c r="J39" s="197"/>
      <c r="K39" s="224">
        <f t="shared" si="16"/>
        <v>551.30113126213575</v>
      </c>
      <c r="L39" s="224">
        <f t="shared" si="13"/>
        <v>45.520276893203864</v>
      </c>
      <c r="M39" s="224">
        <f t="shared" si="17"/>
        <v>505.78085436893184</v>
      </c>
      <c r="N39" s="225">
        <v>35</v>
      </c>
      <c r="O39" s="225">
        <f>基准地下室土建清单!O106</f>
        <v>415.92233009708724</v>
      </c>
      <c r="P39" s="225">
        <f>基准地下室土建清单!P106</f>
        <v>0</v>
      </c>
      <c r="Q39" s="225">
        <f>基准地下室土建清单!Q106</f>
        <v>8.8784466019417447</v>
      </c>
      <c r="R39" s="226">
        <v>0.1</v>
      </c>
      <c r="S39" s="227">
        <f t="shared" si="18"/>
        <v>45.980077669902897</v>
      </c>
      <c r="T39" s="343" t="s">
        <v>222</v>
      </c>
      <c r="U39" s="220" t="s">
        <v>254</v>
      </c>
      <c r="V39" s="8"/>
      <c r="W39" s="8"/>
      <c r="X39" s="8"/>
      <c r="Y39" s="8"/>
    </row>
    <row r="40" spans="1:25" ht="42" outlineLevel="1">
      <c r="A40" s="221">
        <v>5</v>
      </c>
      <c r="B40" s="221">
        <v>2</v>
      </c>
      <c r="C40" s="230" t="s">
        <v>713</v>
      </c>
      <c r="D40" s="230" t="s">
        <v>389</v>
      </c>
      <c r="E40" s="222" t="s">
        <v>252</v>
      </c>
      <c r="F40" s="221" t="s">
        <v>162</v>
      </c>
      <c r="G40" s="225">
        <v>24208.843211135201</v>
      </c>
      <c r="H40" s="225">
        <f t="shared" si="19"/>
        <v>13639557.500222841</v>
      </c>
      <c r="I40" s="225">
        <f t="shared" si="20"/>
        <v>13639557.500222841</v>
      </c>
      <c r="J40" s="197"/>
      <c r="K40" s="224">
        <f t="shared" si="16"/>
        <v>563.41219533980598</v>
      </c>
      <c r="L40" s="224">
        <f t="shared" si="13"/>
        <v>46.520273009708752</v>
      </c>
      <c r="M40" s="224">
        <f t="shared" si="17"/>
        <v>516.89192233009726</v>
      </c>
      <c r="N40" s="225">
        <v>35</v>
      </c>
      <c r="O40" s="225">
        <f>基准地下室土建清单!O107</f>
        <v>425.82524271844682</v>
      </c>
      <c r="P40" s="225">
        <f>基准地下室土建清单!P107</f>
        <v>0</v>
      </c>
      <c r="Q40" s="225">
        <f>基准地下室土建清单!Q107</f>
        <v>9.0765048543689364</v>
      </c>
      <c r="R40" s="226">
        <v>0.1</v>
      </c>
      <c r="S40" s="227">
        <f t="shared" si="18"/>
        <v>46.990174757281579</v>
      </c>
      <c r="T40" s="343" t="s">
        <v>222</v>
      </c>
      <c r="U40" s="220" t="s">
        <v>254</v>
      </c>
      <c r="V40" s="8"/>
      <c r="W40" s="8"/>
      <c r="X40" s="8"/>
      <c r="Y40" s="8"/>
    </row>
    <row r="41" spans="1:25" ht="42" outlineLevel="1">
      <c r="A41" s="221">
        <v>6</v>
      </c>
      <c r="B41" s="221">
        <v>2</v>
      </c>
      <c r="C41" s="230" t="s">
        <v>713</v>
      </c>
      <c r="D41" s="230" t="s">
        <v>390</v>
      </c>
      <c r="E41" s="222" t="s">
        <v>252</v>
      </c>
      <c r="F41" s="221" t="s">
        <v>162</v>
      </c>
      <c r="G41" s="225">
        <v>2693.1320518102102</v>
      </c>
      <c r="H41" s="225">
        <f t="shared" si="19"/>
        <v>1566268.4839240352</v>
      </c>
      <c r="I41" s="225">
        <f t="shared" si="20"/>
        <v>1566268.4839240352</v>
      </c>
      <c r="J41" s="197"/>
      <c r="K41" s="224">
        <f t="shared" si="16"/>
        <v>581.57879145631023</v>
      </c>
      <c r="L41" s="224">
        <f t="shared" si="13"/>
        <v>48.020267184465979</v>
      </c>
      <c r="M41" s="224">
        <f t="shared" si="17"/>
        <v>533.55852427184425</v>
      </c>
      <c r="N41" s="225">
        <v>35</v>
      </c>
      <c r="O41" s="225">
        <f>基准地下室土建清单!O108</f>
        <v>440.67961165048513</v>
      </c>
      <c r="P41" s="225">
        <f>基准地下室土建清单!P108</f>
        <v>0</v>
      </c>
      <c r="Q41" s="225">
        <f>基准地下室土建清单!Q108</f>
        <v>9.3735922330097026</v>
      </c>
      <c r="R41" s="226">
        <v>0.1</v>
      </c>
      <c r="S41" s="227">
        <f t="shared" si="18"/>
        <v>48.505320388349482</v>
      </c>
      <c r="T41" s="343" t="s">
        <v>222</v>
      </c>
      <c r="U41" s="220" t="s">
        <v>254</v>
      </c>
      <c r="V41" s="8"/>
      <c r="W41" s="8"/>
      <c r="X41" s="8"/>
      <c r="Y41" s="8"/>
    </row>
    <row r="42" spans="1:25" ht="42" outlineLevel="1">
      <c r="A42" s="221">
        <v>7</v>
      </c>
      <c r="B42" s="221">
        <v>2</v>
      </c>
      <c r="C42" s="230" t="s">
        <v>713</v>
      </c>
      <c r="D42" s="230" t="s">
        <v>714</v>
      </c>
      <c r="E42" s="230" t="s">
        <v>252</v>
      </c>
      <c r="F42" s="221" t="s">
        <v>162</v>
      </c>
      <c r="G42" s="225">
        <v>2503.2410233898599</v>
      </c>
      <c r="H42" s="225">
        <f t="shared" si="19"/>
        <v>1516465.7139791877</v>
      </c>
      <c r="I42" s="225">
        <f t="shared" si="20"/>
        <v>1516465.7139791877</v>
      </c>
      <c r="J42" s="197"/>
      <c r="K42" s="224">
        <f t="shared" si="16"/>
        <v>605.80091961165101</v>
      </c>
      <c r="L42" s="224">
        <f t="shared" si="13"/>
        <v>50.020259417475764</v>
      </c>
      <c r="M42" s="224">
        <f t="shared" si="17"/>
        <v>555.7806601941752</v>
      </c>
      <c r="N42" s="225">
        <v>35</v>
      </c>
      <c r="O42" s="225">
        <f>基准地下室土建清单!O109</f>
        <v>460.48543689320422</v>
      </c>
      <c r="P42" s="225">
        <f>基准地下室土建清单!P109</f>
        <v>0</v>
      </c>
      <c r="Q42" s="225">
        <f>基准地下室土建清单!Q109</f>
        <v>9.7697087378640841</v>
      </c>
      <c r="R42" s="226">
        <v>0.1</v>
      </c>
      <c r="S42" s="227">
        <f t="shared" si="18"/>
        <v>50.525514563106839</v>
      </c>
      <c r="T42" s="343" t="s">
        <v>222</v>
      </c>
      <c r="U42" s="220" t="s">
        <v>254</v>
      </c>
      <c r="V42" s="8"/>
      <c r="W42" s="8"/>
      <c r="X42" s="8"/>
      <c r="Y42" s="8"/>
    </row>
    <row r="43" spans="1:25" ht="42" outlineLevel="1">
      <c r="A43" s="221">
        <v>8</v>
      </c>
      <c r="B43" s="221">
        <v>2</v>
      </c>
      <c r="C43" s="230" t="s">
        <v>713</v>
      </c>
      <c r="D43" s="230" t="s">
        <v>715</v>
      </c>
      <c r="E43" s="230" t="s">
        <v>252</v>
      </c>
      <c r="F43" s="221" t="s">
        <v>162</v>
      </c>
      <c r="G43" s="225">
        <v>2503.2410233898599</v>
      </c>
      <c r="H43" s="225">
        <f t="shared" si="19"/>
        <v>1592257.9950695031</v>
      </c>
      <c r="I43" s="225">
        <f t="shared" si="20"/>
        <v>1592257.9950695031</v>
      </c>
      <c r="J43" s="197"/>
      <c r="K43" s="224">
        <f t="shared" si="16"/>
        <v>636.07857980582537</v>
      </c>
      <c r="L43" s="224">
        <f t="shared" si="13"/>
        <v>52.520249708737872</v>
      </c>
      <c r="M43" s="224">
        <f t="shared" si="17"/>
        <v>583.55833009708749</v>
      </c>
      <c r="N43" s="225">
        <v>35</v>
      </c>
      <c r="O43" s="225">
        <f>基准地下室土建清单!O110</f>
        <v>485.24271844660211</v>
      </c>
      <c r="P43" s="225">
        <f>基准地下室土建清单!P110</f>
        <v>0</v>
      </c>
      <c r="Q43" s="225">
        <f>基准地下室土建清单!Q110</f>
        <v>10.264854368932042</v>
      </c>
      <c r="R43" s="226">
        <v>0.1</v>
      </c>
      <c r="S43" s="227">
        <f t="shared" si="18"/>
        <v>53.050757281553416</v>
      </c>
      <c r="T43" s="343" t="s">
        <v>222</v>
      </c>
      <c r="U43" s="220" t="s">
        <v>254</v>
      </c>
      <c r="V43" s="8"/>
      <c r="W43" s="8"/>
      <c r="X43" s="8"/>
      <c r="Y43" s="8"/>
    </row>
    <row r="44" spans="1:25" ht="42" outlineLevel="1">
      <c r="A44" s="221">
        <v>9</v>
      </c>
      <c r="B44" s="221">
        <v>2</v>
      </c>
      <c r="C44" s="230" t="s">
        <v>713</v>
      </c>
      <c r="D44" s="230" t="s">
        <v>716</v>
      </c>
      <c r="E44" s="230" t="s">
        <v>252</v>
      </c>
      <c r="F44" s="221" t="s">
        <v>162</v>
      </c>
      <c r="G44" s="225">
        <v>2503.3378324790401</v>
      </c>
      <c r="H44" s="225">
        <f t="shared" si="19"/>
        <v>1668114.7855004831</v>
      </c>
      <c r="I44" s="225">
        <f t="shared" si="20"/>
        <v>1668114.7855004831</v>
      </c>
      <c r="J44" s="197"/>
      <c r="K44" s="224">
        <f t="shared" si="16"/>
        <v>666.35624000000007</v>
      </c>
      <c r="L44" s="224">
        <f t="shared" si="13"/>
        <v>55.020240000000001</v>
      </c>
      <c r="M44" s="224">
        <f t="shared" si="17"/>
        <v>611.33600000000001</v>
      </c>
      <c r="N44" s="225">
        <v>35</v>
      </c>
      <c r="O44" s="225">
        <f>基准地下室土建清单!O111</f>
        <v>510</v>
      </c>
      <c r="P44" s="225">
        <f>基准地下室土建清单!P111</f>
        <v>0</v>
      </c>
      <c r="Q44" s="225">
        <f>基准地下室土建清单!Q111</f>
        <v>10.76</v>
      </c>
      <c r="R44" s="226">
        <v>0.1</v>
      </c>
      <c r="S44" s="227">
        <f t="shared" si="18"/>
        <v>55.576000000000001</v>
      </c>
      <c r="T44" s="343" t="s">
        <v>222</v>
      </c>
      <c r="U44" s="220" t="s">
        <v>254</v>
      </c>
      <c r="V44" s="8"/>
      <c r="W44" s="8"/>
      <c r="X44" s="8"/>
      <c r="Y44" s="8"/>
    </row>
    <row r="45" spans="1:25" ht="42" outlineLevel="1">
      <c r="A45" s="221">
        <v>10</v>
      </c>
      <c r="B45" s="221">
        <v>2</v>
      </c>
      <c r="C45" s="230" t="s">
        <v>713</v>
      </c>
      <c r="D45" s="230" t="s">
        <v>717</v>
      </c>
      <c r="E45" s="230" t="s">
        <v>252</v>
      </c>
      <c r="F45" s="221" t="s">
        <v>162</v>
      </c>
      <c r="G45" s="225">
        <v>2171.2632947846801</v>
      </c>
      <c r="H45" s="225">
        <f t="shared" si="19"/>
        <v>1525723.7718406206</v>
      </c>
      <c r="I45" s="225">
        <f t="shared" si="20"/>
        <v>1525723.7718406206</v>
      </c>
      <c r="J45" s="197"/>
      <c r="K45" s="224">
        <f t="shared" si="16"/>
        <v>702.6894322330096</v>
      </c>
      <c r="L45" s="224">
        <f t="shared" si="13"/>
        <v>58.020228349514547</v>
      </c>
      <c r="M45" s="224">
        <f t="shared" si="17"/>
        <v>644.66920388349502</v>
      </c>
      <c r="N45" s="225">
        <v>35</v>
      </c>
      <c r="O45" s="225">
        <f>基准地下室土建清单!O112</f>
        <v>539.70873786407765</v>
      </c>
      <c r="P45" s="225">
        <f>基准地下室土建清单!P112</f>
        <v>0</v>
      </c>
      <c r="Q45" s="225">
        <f>基准地下室土建清单!Q112</f>
        <v>11.354174757281553</v>
      </c>
      <c r="R45" s="226">
        <v>0.1</v>
      </c>
      <c r="S45" s="227">
        <f t="shared" si="18"/>
        <v>58.606291262135919</v>
      </c>
      <c r="T45" s="343" t="s">
        <v>222</v>
      </c>
      <c r="U45" s="220" t="s">
        <v>254</v>
      </c>
      <c r="V45" s="8"/>
      <c r="W45" s="8"/>
      <c r="X45" s="8"/>
      <c r="Y45" s="8"/>
    </row>
    <row r="46" spans="1:25" ht="42" outlineLevel="1">
      <c r="A46" s="221">
        <v>11</v>
      </c>
      <c r="B46" s="221">
        <v>2</v>
      </c>
      <c r="C46" s="230" t="s">
        <v>713</v>
      </c>
      <c r="D46" s="230" t="s">
        <v>718</v>
      </c>
      <c r="E46" s="230" t="s">
        <v>252</v>
      </c>
      <c r="F46" s="221" t="s">
        <v>162</v>
      </c>
      <c r="G46" s="225">
        <v>0</v>
      </c>
      <c r="H46" s="225">
        <f t="shared" si="19"/>
        <v>0</v>
      </c>
      <c r="I46" s="225">
        <f t="shared" si="20"/>
        <v>0</v>
      </c>
      <c r="J46" s="197"/>
      <c r="K46" s="224">
        <f t="shared" si="16"/>
        <v>757.18922058252372</v>
      </c>
      <c r="L46" s="224">
        <f t="shared" si="13"/>
        <v>62.520210873786361</v>
      </c>
      <c r="M46" s="224">
        <f t="shared" si="17"/>
        <v>694.66900970873735</v>
      </c>
      <c r="N46" s="225">
        <v>35</v>
      </c>
      <c r="O46" s="225">
        <f>基准地下室土建清单!O113</f>
        <v>584.27184466019366</v>
      </c>
      <c r="P46" s="225">
        <f>基准地下室土建清单!P113</f>
        <v>0</v>
      </c>
      <c r="Q46" s="225">
        <f>基准地下室土建清单!Q113</f>
        <v>12.245436893203873</v>
      </c>
      <c r="R46" s="226">
        <v>0.1</v>
      </c>
      <c r="S46" s="227">
        <f t="shared" si="18"/>
        <v>63.151728155339754</v>
      </c>
      <c r="T46" s="343" t="s">
        <v>222</v>
      </c>
      <c r="U46" s="220" t="s">
        <v>254</v>
      </c>
      <c r="V46" s="8"/>
      <c r="W46" s="8"/>
      <c r="X46" s="8"/>
      <c r="Y46" s="8"/>
    </row>
    <row r="47" spans="1:25" ht="136.5" outlineLevel="1">
      <c r="A47" s="221">
        <v>12</v>
      </c>
      <c r="B47" s="221">
        <v>2</v>
      </c>
      <c r="C47" s="348" t="s">
        <v>396</v>
      </c>
      <c r="D47" s="348" t="s">
        <v>397</v>
      </c>
      <c r="E47" s="230"/>
      <c r="F47" s="221" t="s">
        <v>162</v>
      </c>
      <c r="G47" s="225">
        <v>2144.9857013689598</v>
      </c>
      <c r="H47" s="225">
        <f t="shared" si="19"/>
        <v>84870.649246065615</v>
      </c>
      <c r="I47" s="225">
        <f t="shared" si="20"/>
        <v>84870.649246065615</v>
      </c>
      <c r="J47" s="197"/>
      <c r="K47" s="224">
        <f t="shared" si="16"/>
        <v>39.566999999999993</v>
      </c>
      <c r="L47" s="224">
        <f t="shared" si="13"/>
        <v>3.2669999999999995</v>
      </c>
      <c r="M47" s="224">
        <f t="shared" si="17"/>
        <v>36.299999999999997</v>
      </c>
      <c r="N47" s="225">
        <f>基准地下室土建清单!N114</f>
        <v>0</v>
      </c>
      <c r="O47" s="225">
        <f>基准地下室土建清单!O114</f>
        <v>0</v>
      </c>
      <c r="P47" s="225">
        <f>基准地下室土建清单!P114</f>
        <v>33</v>
      </c>
      <c r="Q47" s="225">
        <f>基准地下室土建清单!Q114</f>
        <v>0</v>
      </c>
      <c r="R47" s="226">
        <v>0.1</v>
      </c>
      <c r="S47" s="227">
        <f t="shared" si="18"/>
        <v>3.3000000000000003</v>
      </c>
      <c r="T47" s="349"/>
      <c r="U47" s="220"/>
      <c r="V47" s="8"/>
      <c r="W47" s="8"/>
      <c r="X47" s="8"/>
      <c r="Y47" s="8"/>
    </row>
    <row r="48" spans="1:25" ht="42" outlineLevel="1">
      <c r="A48" s="221">
        <v>13</v>
      </c>
      <c r="B48" s="221">
        <v>2</v>
      </c>
      <c r="C48" s="350" t="s">
        <v>398</v>
      </c>
      <c r="D48" s="230" t="s">
        <v>399</v>
      </c>
      <c r="E48" s="230" t="s">
        <v>252</v>
      </c>
      <c r="F48" s="221" t="s">
        <v>162</v>
      </c>
      <c r="G48" s="225">
        <v>256.25365905106702</v>
      </c>
      <c r="H48" s="225">
        <f t="shared" si="19"/>
        <v>199324.0968687417</v>
      </c>
      <c r="I48" s="225">
        <f t="shared" si="20"/>
        <v>199324.0968687417</v>
      </c>
      <c r="J48" s="197"/>
      <c r="K48" s="224">
        <f t="shared" si="16"/>
        <v>777.83902718446564</v>
      </c>
      <c r="L48" s="224">
        <f t="shared" si="13"/>
        <v>64.225240776698996</v>
      </c>
      <c r="M48" s="224">
        <f t="shared" si="17"/>
        <v>713.61378640776661</v>
      </c>
      <c r="N48" s="225">
        <v>230</v>
      </c>
      <c r="O48" s="225">
        <f>基准地下室土建清单!O115</f>
        <v>406.01941747572772</v>
      </c>
      <c r="P48" s="225">
        <f>基准地下室土建清单!P115</f>
        <v>0</v>
      </c>
      <c r="Q48" s="225">
        <f>基准地下室土建清单!Q115</f>
        <v>12.720388349514556</v>
      </c>
      <c r="R48" s="226">
        <v>0.1</v>
      </c>
      <c r="S48" s="227">
        <f t="shared" si="18"/>
        <v>64.87398058252424</v>
      </c>
      <c r="T48" s="343" t="s">
        <v>222</v>
      </c>
      <c r="U48" s="220" t="s">
        <v>254</v>
      </c>
      <c r="V48" s="8" t="s">
        <v>719</v>
      </c>
      <c r="W48" s="8"/>
      <c r="X48" s="8"/>
      <c r="Y48" s="8"/>
    </row>
    <row r="49" spans="1:25" ht="42" outlineLevel="1">
      <c r="A49" s="221">
        <v>14</v>
      </c>
      <c r="B49" s="221">
        <v>2</v>
      </c>
      <c r="C49" s="350" t="s">
        <v>400</v>
      </c>
      <c r="D49" s="230" t="s">
        <v>401</v>
      </c>
      <c r="E49" s="230" t="s">
        <v>252</v>
      </c>
      <c r="F49" s="221" t="s">
        <v>162</v>
      </c>
      <c r="G49" s="225">
        <v>0</v>
      </c>
      <c r="H49" s="225">
        <f t="shared" si="19"/>
        <v>0</v>
      </c>
      <c r="I49" s="225">
        <f t="shared" si="20"/>
        <v>0</v>
      </c>
      <c r="J49" s="197"/>
      <c r="K49" s="224">
        <f t="shared" si="16"/>
        <v>789.95009126213574</v>
      </c>
      <c r="L49" s="224">
        <f t="shared" si="13"/>
        <v>65.225236893203871</v>
      </c>
      <c r="M49" s="224">
        <f t="shared" si="17"/>
        <v>724.72485436893191</v>
      </c>
      <c r="N49" s="225">
        <v>230</v>
      </c>
      <c r="O49" s="225">
        <f>基准地下室土建清单!O116</f>
        <v>415.92233009708724</v>
      </c>
      <c r="P49" s="225">
        <f>基准地下室土建清单!P116</f>
        <v>0</v>
      </c>
      <c r="Q49" s="225">
        <f>基准地下室土建清单!Q116</f>
        <v>12.918446601941746</v>
      </c>
      <c r="R49" s="226">
        <v>0.1</v>
      </c>
      <c r="S49" s="227">
        <f t="shared" si="18"/>
        <v>65.884077669902908</v>
      </c>
      <c r="T49" s="343" t="s">
        <v>222</v>
      </c>
      <c r="U49" s="220" t="s">
        <v>254</v>
      </c>
      <c r="V49" s="8"/>
      <c r="W49" s="8"/>
      <c r="X49" s="8"/>
      <c r="Y49" s="8"/>
    </row>
    <row r="50" spans="1:25" ht="42" outlineLevel="1">
      <c r="A50" s="221">
        <v>15</v>
      </c>
      <c r="B50" s="221">
        <v>2</v>
      </c>
      <c r="C50" s="350" t="s">
        <v>402</v>
      </c>
      <c r="D50" s="230" t="s">
        <v>399</v>
      </c>
      <c r="E50" s="230" t="s">
        <v>252</v>
      </c>
      <c r="F50" s="221" t="s">
        <v>162</v>
      </c>
      <c r="G50" s="225">
        <v>1419.89891095656</v>
      </c>
      <c r="H50" s="225">
        <f t="shared" si="19"/>
        <v>1104452.7875987329</v>
      </c>
      <c r="I50" s="225">
        <f t="shared" si="20"/>
        <v>1104452.7875987329</v>
      </c>
      <c r="J50" s="197"/>
      <c r="K50" s="224">
        <f t="shared" si="16"/>
        <v>777.83902718446564</v>
      </c>
      <c r="L50" s="224">
        <f t="shared" si="13"/>
        <v>64.225240776698996</v>
      </c>
      <c r="M50" s="224">
        <f t="shared" si="17"/>
        <v>713.61378640776661</v>
      </c>
      <c r="N50" s="225">
        <v>230</v>
      </c>
      <c r="O50" s="225">
        <f>基准地下室土建清单!O117</f>
        <v>406.01941747572772</v>
      </c>
      <c r="P50" s="225">
        <f>基准地下室土建清单!P117</f>
        <v>0</v>
      </c>
      <c r="Q50" s="225">
        <f>基准地下室土建清单!Q117</f>
        <v>12.720388349514556</v>
      </c>
      <c r="R50" s="226">
        <v>0.1</v>
      </c>
      <c r="S50" s="227">
        <f t="shared" si="18"/>
        <v>64.87398058252424</v>
      </c>
      <c r="T50" s="343" t="s">
        <v>222</v>
      </c>
      <c r="U50" s="220" t="s">
        <v>254</v>
      </c>
      <c r="V50" s="8"/>
      <c r="W50" s="8"/>
      <c r="X50" s="8"/>
      <c r="Y50" s="8"/>
    </row>
    <row r="51" spans="1:25" ht="42" outlineLevel="1">
      <c r="A51" s="221">
        <v>16</v>
      </c>
      <c r="B51" s="221">
        <v>2</v>
      </c>
      <c r="C51" s="350" t="s">
        <v>403</v>
      </c>
      <c r="D51" s="230" t="s">
        <v>401</v>
      </c>
      <c r="E51" s="230" t="s">
        <v>252</v>
      </c>
      <c r="F51" s="221" t="s">
        <v>162</v>
      </c>
      <c r="G51" s="225">
        <v>0</v>
      </c>
      <c r="H51" s="225">
        <f t="shared" si="19"/>
        <v>0</v>
      </c>
      <c r="I51" s="225">
        <f t="shared" si="20"/>
        <v>0</v>
      </c>
      <c r="J51" s="197"/>
      <c r="K51" s="224">
        <f t="shared" si="16"/>
        <v>789.95009126213574</v>
      </c>
      <c r="L51" s="224">
        <f t="shared" si="13"/>
        <v>65.225236893203871</v>
      </c>
      <c r="M51" s="224">
        <f t="shared" si="17"/>
        <v>724.72485436893191</v>
      </c>
      <c r="N51" s="225">
        <v>230</v>
      </c>
      <c r="O51" s="225">
        <f>基准地下室土建清单!O118</f>
        <v>415.92233009708724</v>
      </c>
      <c r="P51" s="225">
        <f>基准地下室土建清单!P118</f>
        <v>0</v>
      </c>
      <c r="Q51" s="225">
        <f>基准地下室土建清单!Q118</f>
        <v>12.918446601941746</v>
      </c>
      <c r="R51" s="226">
        <v>0.1</v>
      </c>
      <c r="S51" s="227">
        <f t="shared" si="18"/>
        <v>65.884077669902908</v>
      </c>
      <c r="T51" s="343" t="s">
        <v>222</v>
      </c>
      <c r="U51" s="220" t="s">
        <v>254</v>
      </c>
      <c r="V51" s="8"/>
      <c r="W51" s="8"/>
      <c r="X51" s="8"/>
      <c r="Y51" s="8"/>
    </row>
    <row r="52" spans="1:25" ht="52.5" outlineLevel="1">
      <c r="A52" s="221">
        <v>17</v>
      </c>
      <c r="B52" s="221">
        <v>2</v>
      </c>
      <c r="C52" s="230" t="s">
        <v>720</v>
      </c>
      <c r="D52" s="230" t="s">
        <v>721</v>
      </c>
      <c r="E52" s="230" t="s">
        <v>722</v>
      </c>
      <c r="F52" s="221" t="s">
        <v>162</v>
      </c>
      <c r="G52" s="225">
        <v>0</v>
      </c>
      <c r="H52" s="225">
        <f t="shared" si="19"/>
        <v>0</v>
      </c>
      <c r="I52" s="225">
        <f t="shared" si="20"/>
        <v>0</v>
      </c>
      <c r="J52" s="197"/>
      <c r="K52" s="224">
        <f t="shared" si="16"/>
        <v>675.81343980582551</v>
      </c>
      <c r="L52" s="224">
        <f t="shared" si="13"/>
        <v>55.80110970873789</v>
      </c>
      <c r="M52" s="224">
        <f t="shared" si="17"/>
        <v>620.01233009708767</v>
      </c>
      <c r="N52" s="225">
        <v>35</v>
      </c>
      <c r="O52" s="225">
        <f>调差材料基价表!E17*1.02</f>
        <v>485.24271844660211</v>
      </c>
      <c r="P52" s="225">
        <f>P47</f>
        <v>33</v>
      </c>
      <c r="Q52" s="225">
        <f>(N52+O52)*2%</f>
        <v>10.404854368932043</v>
      </c>
      <c r="R52" s="226">
        <v>0.1</v>
      </c>
      <c r="S52" s="227">
        <f t="shared" si="18"/>
        <v>56.364757281553423</v>
      </c>
      <c r="T52" s="343" t="s">
        <v>222</v>
      </c>
      <c r="U52" s="220" t="s">
        <v>254</v>
      </c>
      <c r="V52" s="8"/>
      <c r="W52" s="8"/>
      <c r="X52" s="8"/>
      <c r="Y52" s="8"/>
    </row>
    <row r="53" spans="1:25" ht="63" outlineLevel="1">
      <c r="A53" s="221">
        <v>18</v>
      </c>
      <c r="B53" s="221">
        <v>2</v>
      </c>
      <c r="C53" s="230" t="s">
        <v>723</v>
      </c>
      <c r="D53" s="230" t="s">
        <v>2039</v>
      </c>
      <c r="E53" s="230" t="s">
        <v>724</v>
      </c>
      <c r="F53" s="221" t="s">
        <v>162</v>
      </c>
      <c r="G53" s="225">
        <v>1932.74506087081</v>
      </c>
      <c r="H53" s="225">
        <f t="shared" si="19"/>
        <v>1223788.6372496311</v>
      </c>
      <c r="I53" s="225">
        <f t="shared" si="20"/>
        <v>1223788.6372496311</v>
      </c>
      <c r="J53" s="197"/>
      <c r="K53" s="224">
        <f t="shared" si="16"/>
        <v>633.1867880693203</v>
      </c>
      <c r="L53" s="224">
        <f t="shared" si="13"/>
        <v>52.281477913980574</v>
      </c>
      <c r="M53" s="224">
        <f t="shared" si="17"/>
        <v>580.90531015533975</v>
      </c>
      <c r="N53" s="225">
        <v>230</v>
      </c>
      <c r="O53" s="225">
        <f>341.04*调差材料基价表!E63/1000+调差材料基价表!E64*0.5207+1.4119*调差材料基价表!E65</f>
        <v>298.09573650485436</v>
      </c>
      <c r="P53" s="225">
        <v>0</v>
      </c>
      <c r="Q53" s="225">
        <v>0</v>
      </c>
      <c r="R53" s="226">
        <v>0.1</v>
      </c>
      <c r="S53" s="227">
        <f t="shared" si="18"/>
        <v>52.80957365048544</v>
      </c>
      <c r="T53" s="230" t="s">
        <v>725</v>
      </c>
      <c r="U53" s="220" t="s">
        <v>254</v>
      </c>
      <c r="V53" s="8"/>
      <c r="W53" s="8"/>
      <c r="X53" s="8"/>
      <c r="Y53" s="8"/>
    </row>
    <row r="54" spans="1:25" ht="42" outlineLevel="1">
      <c r="A54" s="221">
        <v>19</v>
      </c>
      <c r="B54" s="221">
        <v>2</v>
      </c>
      <c r="C54" s="230" t="s">
        <v>723</v>
      </c>
      <c r="D54" s="230" t="s">
        <v>726</v>
      </c>
      <c r="E54" s="230" t="s">
        <v>252</v>
      </c>
      <c r="F54" s="221" t="s">
        <v>162</v>
      </c>
      <c r="G54" s="225">
        <v>1393.92890469398</v>
      </c>
      <c r="H54" s="225">
        <f>G54*K54</f>
        <v>1111264.0919032227</v>
      </c>
      <c r="I54" s="225">
        <f>G54*K54*(1+J54)</f>
        <v>1111264.0919032227</v>
      </c>
      <c r="J54" s="197"/>
      <c r="K54" s="224">
        <f>L54+M54</f>
        <v>797.21719533980615</v>
      </c>
      <c r="L54" s="224">
        <f>M54*0.09</f>
        <v>65.825273009708766</v>
      </c>
      <c r="M54" s="224">
        <f>N54+O54+P54+Q54+S54</f>
        <v>731.39192233009737</v>
      </c>
      <c r="N54" s="225">
        <v>230</v>
      </c>
      <c r="O54" s="225">
        <f>基准地下室土建清单!O107</f>
        <v>425.82524271844682</v>
      </c>
      <c r="P54" s="225">
        <v>0</v>
      </c>
      <c r="Q54" s="225">
        <f>基准地下室土建清单!Q107</f>
        <v>9.0765048543689364</v>
      </c>
      <c r="R54" s="226">
        <v>0.1</v>
      </c>
      <c r="S54" s="227">
        <f t="shared" si="18"/>
        <v>66.490174757281579</v>
      </c>
      <c r="T54" s="343" t="s">
        <v>222</v>
      </c>
      <c r="U54" s="220" t="s">
        <v>254</v>
      </c>
      <c r="V54" s="8"/>
      <c r="W54" s="8"/>
      <c r="X54" s="8"/>
      <c r="Y54" s="8"/>
    </row>
    <row r="55" spans="1:25" ht="84" outlineLevel="1">
      <c r="A55" s="221">
        <v>20</v>
      </c>
      <c r="B55" s="221">
        <v>2</v>
      </c>
      <c r="C55" s="222" t="s">
        <v>727</v>
      </c>
      <c r="D55" s="222" t="s">
        <v>728</v>
      </c>
      <c r="E55" s="222" t="s">
        <v>729</v>
      </c>
      <c r="F55" s="222" t="s">
        <v>162</v>
      </c>
      <c r="G55" s="225">
        <v>0</v>
      </c>
      <c r="H55" s="225">
        <f t="shared" ref="H55:H59" si="21">G55*K55</f>
        <v>0</v>
      </c>
      <c r="I55" s="225">
        <f t="shared" ref="I55:I59" si="22">G55*K55*(1+J55)</f>
        <v>0</v>
      </c>
      <c r="J55" s="197"/>
      <c r="K55" s="224">
        <f t="shared" ref="K55:K59" si="23">L55+M55</f>
        <v>3733.6446551724143</v>
      </c>
      <c r="L55" s="224">
        <f t="shared" ref="L55:L59" si="24">M55*0.09</f>
        <v>308.28258620689655</v>
      </c>
      <c r="M55" s="224">
        <f t="shared" ref="M55:M59" si="25">N55+O55+P55+Q55+S55</f>
        <v>3425.3620689655177</v>
      </c>
      <c r="N55" s="305">
        <v>900</v>
      </c>
      <c r="O55" s="225">
        <f>2400/1.16</f>
        <v>2068.9655172413795</v>
      </c>
      <c r="P55" s="305">
        <v>120</v>
      </c>
      <c r="Q55" s="305">
        <v>25</v>
      </c>
      <c r="R55" s="226">
        <v>0.1</v>
      </c>
      <c r="S55" s="227">
        <f t="shared" ref="S55:S59" si="26">SUM(N55:Q55)*R55</f>
        <v>311.39655172413796</v>
      </c>
      <c r="T55" s="349" t="s">
        <v>730</v>
      </c>
      <c r="U55" s="306"/>
      <c r="V55" s="8"/>
      <c r="W55" s="8"/>
      <c r="X55" s="8"/>
      <c r="Y55" s="8"/>
    </row>
    <row r="56" spans="1:25" ht="84" outlineLevel="1">
      <c r="A56" s="221">
        <v>21</v>
      </c>
      <c r="B56" s="221">
        <v>2</v>
      </c>
      <c r="C56" s="222" t="s">
        <v>731</v>
      </c>
      <c r="D56" s="222" t="s">
        <v>732</v>
      </c>
      <c r="E56" s="222" t="s">
        <v>729</v>
      </c>
      <c r="F56" s="222" t="s">
        <v>162</v>
      </c>
      <c r="G56" s="225">
        <v>0</v>
      </c>
      <c r="H56" s="225">
        <f t="shared" si="21"/>
        <v>0</v>
      </c>
      <c r="I56" s="225">
        <f t="shared" si="22"/>
        <v>0</v>
      </c>
      <c r="J56" s="197"/>
      <c r="K56" s="224">
        <f t="shared" si="23"/>
        <v>3733.6446551724143</v>
      </c>
      <c r="L56" s="224">
        <f t="shared" si="24"/>
        <v>308.28258620689655</v>
      </c>
      <c r="M56" s="224">
        <f t="shared" si="25"/>
        <v>3425.3620689655177</v>
      </c>
      <c r="N56" s="305">
        <v>900</v>
      </c>
      <c r="O56" s="225">
        <f>2400/1.16</f>
        <v>2068.9655172413795</v>
      </c>
      <c r="P56" s="305">
        <v>120</v>
      </c>
      <c r="Q56" s="305">
        <v>25</v>
      </c>
      <c r="R56" s="226">
        <v>0.1</v>
      </c>
      <c r="S56" s="227">
        <f t="shared" si="26"/>
        <v>311.39655172413796</v>
      </c>
      <c r="T56" s="349" t="s">
        <v>730</v>
      </c>
      <c r="U56" s="306"/>
      <c r="V56" s="8"/>
      <c r="W56" s="8"/>
      <c r="X56" s="8"/>
      <c r="Y56" s="8"/>
    </row>
    <row r="57" spans="1:25" ht="84" outlineLevel="1">
      <c r="A57" s="221">
        <v>22</v>
      </c>
      <c r="B57" s="221">
        <v>2</v>
      </c>
      <c r="C57" s="222" t="s">
        <v>733</v>
      </c>
      <c r="D57" s="222" t="s">
        <v>734</v>
      </c>
      <c r="E57" s="222" t="s">
        <v>729</v>
      </c>
      <c r="F57" s="222" t="s">
        <v>162</v>
      </c>
      <c r="G57" s="225">
        <v>0</v>
      </c>
      <c r="H57" s="225">
        <f t="shared" si="21"/>
        <v>0</v>
      </c>
      <c r="I57" s="225">
        <f t="shared" si="22"/>
        <v>0</v>
      </c>
      <c r="J57" s="197"/>
      <c r="K57" s="224">
        <f t="shared" si="23"/>
        <v>3886.6205172413793</v>
      </c>
      <c r="L57" s="224">
        <f t="shared" si="24"/>
        <v>320.91362068965515</v>
      </c>
      <c r="M57" s="224">
        <f t="shared" si="25"/>
        <v>3565.7068965517242</v>
      </c>
      <c r="N57" s="305">
        <v>1200</v>
      </c>
      <c r="O57" s="224">
        <f>2200/1.16</f>
        <v>1896.5517241379312</v>
      </c>
      <c r="P57" s="305">
        <v>120</v>
      </c>
      <c r="Q57" s="305">
        <v>25</v>
      </c>
      <c r="R57" s="226">
        <v>0.1</v>
      </c>
      <c r="S57" s="227">
        <f t="shared" si="26"/>
        <v>324.15517241379314</v>
      </c>
      <c r="T57" s="349" t="s">
        <v>730</v>
      </c>
      <c r="U57" s="306"/>
      <c r="V57" s="8"/>
      <c r="W57" s="8"/>
      <c r="X57" s="8"/>
      <c r="Y57" s="8"/>
    </row>
    <row r="58" spans="1:25" ht="52.5" outlineLevel="1">
      <c r="A58" s="221">
        <v>23</v>
      </c>
      <c r="B58" s="221">
        <v>2</v>
      </c>
      <c r="C58" s="230" t="s">
        <v>404</v>
      </c>
      <c r="D58" s="230" t="s">
        <v>405</v>
      </c>
      <c r="E58" s="230" t="s">
        <v>231</v>
      </c>
      <c r="F58" s="221" t="s">
        <v>265</v>
      </c>
      <c r="G58" s="225">
        <v>2220.0841184565602</v>
      </c>
      <c r="H58" s="225">
        <f t="shared" si="21"/>
        <v>250216.80065476507</v>
      </c>
      <c r="I58" s="225">
        <f t="shared" si="22"/>
        <v>250216.80065476507</v>
      </c>
      <c r="J58" s="197"/>
      <c r="K58" s="224">
        <f t="shared" si="23"/>
        <v>112.706</v>
      </c>
      <c r="L58" s="224">
        <f t="shared" si="24"/>
        <v>9.3060000000000009</v>
      </c>
      <c r="M58" s="224">
        <f t="shared" si="25"/>
        <v>103.4</v>
      </c>
      <c r="N58" s="225">
        <v>55</v>
      </c>
      <c r="O58" s="225">
        <v>39</v>
      </c>
      <c r="P58" s="225">
        <v>0</v>
      </c>
      <c r="Q58" s="225">
        <v>0</v>
      </c>
      <c r="R58" s="226">
        <v>0.1</v>
      </c>
      <c r="S58" s="227">
        <f t="shared" si="26"/>
        <v>9.4</v>
      </c>
      <c r="T58" s="349"/>
      <c r="U58" s="306"/>
      <c r="V58" s="8"/>
      <c r="W58" s="8"/>
      <c r="X58" s="8"/>
      <c r="Y58" s="8"/>
    </row>
    <row r="59" spans="1:25" ht="63" outlineLevel="1">
      <c r="A59" s="221">
        <v>24</v>
      </c>
      <c r="B59" s="221">
        <v>2</v>
      </c>
      <c r="C59" s="230" t="s">
        <v>735</v>
      </c>
      <c r="D59" s="230" t="s">
        <v>736</v>
      </c>
      <c r="E59" s="230" t="s">
        <v>231</v>
      </c>
      <c r="F59" s="221" t="s">
        <v>265</v>
      </c>
      <c r="G59" s="225">
        <f>403137.753011875+83841.51</f>
        <v>486979.26301187498</v>
      </c>
      <c r="H59" s="225">
        <f t="shared" si="21"/>
        <v>25759934.048380543</v>
      </c>
      <c r="I59" s="225">
        <f t="shared" si="22"/>
        <v>25759934.048380543</v>
      </c>
      <c r="J59" s="197"/>
      <c r="K59" s="224">
        <f t="shared" si="23"/>
        <v>52.897394211532138</v>
      </c>
      <c r="L59" s="224">
        <f t="shared" si="24"/>
        <v>4.3676747514109104</v>
      </c>
      <c r="M59" s="224">
        <f t="shared" si="25"/>
        <v>48.529719460121228</v>
      </c>
      <c r="N59" s="225">
        <v>30</v>
      </c>
      <c r="O59" s="225">
        <f>60/1.67445*1.15/6+7.25</f>
        <v>14.117926781928393</v>
      </c>
      <c r="P59" s="225"/>
      <c r="Q59" s="225">
        <v>0</v>
      </c>
      <c r="R59" s="226">
        <v>0.1</v>
      </c>
      <c r="S59" s="227">
        <f t="shared" si="26"/>
        <v>4.4117926781928389</v>
      </c>
      <c r="T59" s="349"/>
      <c r="U59" s="306"/>
      <c r="V59" s="8"/>
      <c r="W59" s="8"/>
      <c r="X59" s="8"/>
      <c r="Y59" s="8"/>
    </row>
    <row r="60" spans="1:25" ht="52.5" outlineLevel="1">
      <c r="A60" s="221">
        <v>25</v>
      </c>
      <c r="B60" s="221">
        <v>2</v>
      </c>
      <c r="C60" s="230" t="s">
        <v>737</v>
      </c>
      <c r="D60" s="230" t="s">
        <v>738</v>
      </c>
      <c r="E60" s="230" t="s">
        <v>231</v>
      </c>
      <c r="F60" s="221" t="s">
        <v>265</v>
      </c>
      <c r="G60" s="225">
        <v>0</v>
      </c>
      <c r="H60" s="225">
        <f t="shared" ref="H60:H71" si="27">G60*K60</f>
        <v>0</v>
      </c>
      <c r="I60" s="225">
        <f t="shared" ref="I60:I71" si="28">G60*K60*(1+J60)</f>
        <v>0</v>
      </c>
      <c r="J60" s="197"/>
      <c r="K60" s="224">
        <f t="shared" ref="K60:K77" si="29">L60+M60</f>
        <v>140.88249999999999</v>
      </c>
      <c r="L60" s="224">
        <f t="shared" ref="L60:L77" si="30">M60*0.09</f>
        <v>11.6325</v>
      </c>
      <c r="M60" s="224">
        <f t="shared" ref="M60:M77" si="31">N60+O60+P60+Q60+S60</f>
        <v>129.25</v>
      </c>
      <c r="N60" s="225">
        <v>57</v>
      </c>
      <c r="O60" s="351">
        <v>57.2</v>
      </c>
      <c r="P60" s="351">
        <v>3.3</v>
      </c>
      <c r="Q60" s="225">
        <v>0</v>
      </c>
      <c r="R60" s="226">
        <v>0.1</v>
      </c>
      <c r="S60" s="227">
        <f t="shared" ref="S60:S77" si="32">SUM(N60:Q60)*R60</f>
        <v>11.75</v>
      </c>
      <c r="T60" s="349"/>
      <c r="U60" s="352"/>
    </row>
    <row r="61" spans="1:25" ht="73.5" outlineLevel="1">
      <c r="A61" s="221">
        <v>26</v>
      </c>
      <c r="B61" s="221">
        <v>2</v>
      </c>
      <c r="C61" s="230" t="s">
        <v>739</v>
      </c>
      <c r="D61" s="230" t="s">
        <v>740</v>
      </c>
      <c r="E61" s="230" t="s">
        <v>231</v>
      </c>
      <c r="F61" s="221" t="s">
        <v>265</v>
      </c>
      <c r="G61" s="225">
        <v>0</v>
      </c>
      <c r="H61" s="225">
        <f t="shared" si="27"/>
        <v>0</v>
      </c>
      <c r="I61" s="225">
        <f t="shared" si="28"/>
        <v>0</v>
      </c>
      <c r="J61" s="197"/>
      <c r="K61" s="224">
        <f t="shared" si="29"/>
        <v>66.544499999999999</v>
      </c>
      <c r="L61" s="224">
        <f t="shared" si="30"/>
        <v>5.4944999999999995</v>
      </c>
      <c r="M61" s="224">
        <f t="shared" si="31"/>
        <v>61.05</v>
      </c>
      <c r="N61" s="225">
        <v>28</v>
      </c>
      <c r="O61" s="351">
        <v>26</v>
      </c>
      <c r="P61" s="351">
        <v>1.5</v>
      </c>
      <c r="Q61" s="225">
        <v>0</v>
      </c>
      <c r="R61" s="226">
        <v>0.1</v>
      </c>
      <c r="S61" s="227">
        <f t="shared" si="32"/>
        <v>5.5500000000000007</v>
      </c>
      <c r="T61" s="349"/>
      <c r="U61" s="352"/>
    </row>
    <row r="62" spans="1:25" ht="42" outlineLevel="1">
      <c r="A62" s="221">
        <v>27</v>
      </c>
      <c r="B62" s="221">
        <v>2</v>
      </c>
      <c r="C62" s="230" t="s">
        <v>408</v>
      </c>
      <c r="D62" s="230" t="s">
        <v>409</v>
      </c>
      <c r="E62" s="230" t="s">
        <v>410</v>
      </c>
      <c r="F62" s="221" t="s">
        <v>238</v>
      </c>
      <c r="G62" s="225">
        <v>1432.58397494314</v>
      </c>
      <c r="H62" s="225">
        <f t="shared" si="27"/>
        <v>8014639.7556745457</v>
      </c>
      <c r="I62" s="225">
        <f t="shared" si="28"/>
        <v>8014639.7556745457</v>
      </c>
      <c r="J62" s="197"/>
      <c r="K62" s="224">
        <f t="shared" si="29"/>
        <v>5594.5340000000006</v>
      </c>
      <c r="L62" s="224">
        <f t="shared" si="30"/>
        <v>461.93400000000003</v>
      </c>
      <c r="M62" s="224">
        <f t="shared" si="31"/>
        <v>5132.6000000000004</v>
      </c>
      <c r="N62" s="225">
        <v>1000</v>
      </c>
      <c r="O62" s="225">
        <f>基准地下室土建清单!O121</f>
        <v>3621</v>
      </c>
      <c r="P62" s="225">
        <f>基准地下室土建清单!P121</f>
        <v>45</v>
      </c>
      <c r="Q62" s="225">
        <f>基准地下室土建清单!Q121</f>
        <v>0</v>
      </c>
      <c r="R62" s="226">
        <v>0.1</v>
      </c>
      <c r="S62" s="227">
        <f t="shared" si="32"/>
        <v>466.6</v>
      </c>
      <c r="T62" s="343" t="s">
        <v>253</v>
      </c>
      <c r="U62" s="306"/>
      <c r="V62" s="8"/>
      <c r="W62" s="8"/>
      <c r="X62" s="8"/>
      <c r="Y62" s="8"/>
    </row>
    <row r="63" spans="1:25" ht="42" outlineLevel="1">
      <c r="A63" s="221">
        <v>28</v>
      </c>
      <c r="B63" s="221">
        <v>2</v>
      </c>
      <c r="C63" s="230" t="s">
        <v>411</v>
      </c>
      <c r="D63" s="230" t="s">
        <v>412</v>
      </c>
      <c r="E63" s="230" t="s">
        <v>410</v>
      </c>
      <c r="F63" s="221" t="s">
        <v>238</v>
      </c>
      <c r="G63" s="225">
        <v>2494.71183530294</v>
      </c>
      <c r="H63" s="225">
        <f t="shared" si="27"/>
        <v>13956750.1828047</v>
      </c>
      <c r="I63" s="225">
        <f t="shared" si="28"/>
        <v>13956750.1828047</v>
      </c>
      <c r="J63" s="197"/>
      <c r="K63" s="224">
        <f t="shared" si="29"/>
        <v>5594.5340000000006</v>
      </c>
      <c r="L63" s="224">
        <f t="shared" si="30"/>
        <v>461.93400000000003</v>
      </c>
      <c r="M63" s="224">
        <f t="shared" si="31"/>
        <v>5132.6000000000004</v>
      </c>
      <c r="N63" s="225">
        <v>1000</v>
      </c>
      <c r="O63" s="225">
        <f>基准地下室土建清单!O122</f>
        <v>3621</v>
      </c>
      <c r="P63" s="225">
        <f>基准地下室土建清单!P122</f>
        <v>45</v>
      </c>
      <c r="Q63" s="225">
        <f>基准地下室土建清单!Q122</f>
        <v>0</v>
      </c>
      <c r="R63" s="226">
        <v>0.1</v>
      </c>
      <c r="S63" s="227">
        <f t="shared" si="32"/>
        <v>466.6</v>
      </c>
      <c r="T63" s="343" t="s">
        <v>253</v>
      </c>
      <c r="U63" s="306"/>
      <c r="V63" s="8"/>
      <c r="W63" s="8"/>
      <c r="X63" s="8"/>
      <c r="Y63" s="8"/>
    </row>
    <row r="64" spans="1:25" ht="31.5" outlineLevel="1">
      <c r="A64" s="221">
        <v>29</v>
      </c>
      <c r="B64" s="221">
        <v>2</v>
      </c>
      <c r="C64" s="230" t="s">
        <v>411</v>
      </c>
      <c r="D64" s="230" t="s">
        <v>413</v>
      </c>
      <c r="E64" s="230" t="s">
        <v>414</v>
      </c>
      <c r="F64" s="221" t="s">
        <v>238</v>
      </c>
      <c r="G64" s="225">
        <v>0</v>
      </c>
      <c r="H64" s="225">
        <f t="shared" si="27"/>
        <v>0</v>
      </c>
      <c r="I64" s="225">
        <f t="shared" si="28"/>
        <v>0</v>
      </c>
      <c r="J64" s="197"/>
      <c r="K64" s="224">
        <f t="shared" si="29"/>
        <v>5594.5340000000006</v>
      </c>
      <c r="L64" s="224">
        <f t="shared" si="30"/>
        <v>461.93400000000003</v>
      </c>
      <c r="M64" s="224">
        <f t="shared" si="31"/>
        <v>5132.6000000000004</v>
      </c>
      <c r="N64" s="225">
        <v>1000</v>
      </c>
      <c r="O64" s="225">
        <f>基准地下室土建清单!O123</f>
        <v>3621</v>
      </c>
      <c r="P64" s="225">
        <f>基准地下室土建清单!P123</f>
        <v>45</v>
      </c>
      <c r="Q64" s="225">
        <f>基准地下室土建清单!Q123</f>
        <v>0</v>
      </c>
      <c r="R64" s="226">
        <v>0.1</v>
      </c>
      <c r="S64" s="227">
        <f t="shared" si="32"/>
        <v>466.6</v>
      </c>
      <c r="T64" s="343" t="s">
        <v>253</v>
      </c>
      <c r="U64" s="306"/>
      <c r="V64" s="8"/>
      <c r="W64" s="8"/>
      <c r="X64" s="8"/>
      <c r="Y64" s="8"/>
    </row>
    <row r="65" spans="1:25" ht="42" outlineLevel="1">
      <c r="A65" s="221">
        <v>30</v>
      </c>
      <c r="B65" s="221">
        <v>2</v>
      </c>
      <c r="C65" s="230" t="s">
        <v>411</v>
      </c>
      <c r="D65" s="230" t="s">
        <v>415</v>
      </c>
      <c r="E65" s="230" t="s">
        <v>414</v>
      </c>
      <c r="F65" s="221" t="s">
        <v>238</v>
      </c>
      <c r="G65" s="225">
        <v>0</v>
      </c>
      <c r="H65" s="225">
        <f t="shared" si="27"/>
        <v>0</v>
      </c>
      <c r="I65" s="225">
        <f t="shared" si="28"/>
        <v>0</v>
      </c>
      <c r="J65" s="197"/>
      <c r="K65" s="224">
        <f t="shared" si="29"/>
        <v>5594.5340000000006</v>
      </c>
      <c r="L65" s="224">
        <f t="shared" si="30"/>
        <v>461.93400000000003</v>
      </c>
      <c r="M65" s="224">
        <f t="shared" si="31"/>
        <v>5132.6000000000004</v>
      </c>
      <c r="N65" s="225">
        <v>1000</v>
      </c>
      <c r="O65" s="225">
        <f>基准地下室土建清单!O124</f>
        <v>3621</v>
      </c>
      <c r="P65" s="225">
        <f>基准地下室土建清单!P124</f>
        <v>45</v>
      </c>
      <c r="Q65" s="225">
        <f>基准地下室土建清单!Q124</f>
        <v>0</v>
      </c>
      <c r="R65" s="226">
        <v>0.1</v>
      </c>
      <c r="S65" s="227">
        <f t="shared" si="32"/>
        <v>466.6</v>
      </c>
      <c r="T65" s="343" t="s">
        <v>253</v>
      </c>
      <c r="U65" s="306"/>
      <c r="V65" s="8"/>
      <c r="W65" s="8"/>
      <c r="X65" s="8"/>
      <c r="Y65" s="8"/>
    </row>
    <row r="66" spans="1:25" ht="31.5" outlineLevel="1">
      <c r="A66" s="221">
        <v>31</v>
      </c>
      <c r="B66" s="221">
        <v>2</v>
      </c>
      <c r="C66" s="230" t="s">
        <v>411</v>
      </c>
      <c r="D66" s="230" t="s">
        <v>416</v>
      </c>
      <c r="E66" s="230" t="s">
        <v>414</v>
      </c>
      <c r="F66" s="221" t="s">
        <v>238</v>
      </c>
      <c r="G66" s="225">
        <v>0</v>
      </c>
      <c r="H66" s="225">
        <f t="shared" si="27"/>
        <v>0</v>
      </c>
      <c r="I66" s="225">
        <f t="shared" si="28"/>
        <v>0</v>
      </c>
      <c r="J66" s="197"/>
      <c r="K66" s="224">
        <f t="shared" si="29"/>
        <v>5594.5340000000006</v>
      </c>
      <c r="L66" s="224">
        <f t="shared" si="30"/>
        <v>461.93400000000003</v>
      </c>
      <c r="M66" s="224">
        <f t="shared" si="31"/>
        <v>5132.6000000000004</v>
      </c>
      <c r="N66" s="225">
        <v>1000</v>
      </c>
      <c r="O66" s="225">
        <f>基准地下室土建清单!O125</f>
        <v>3621</v>
      </c>
      <c r="P66" s="225">
        <f>基准地下室土建清单!P125</f>
        <v>45</v>
      </c>
      <c r="Q66" s="225">
        <f>基准地下室土建清单!Q125</f>
        <v>0</v>
      </c>
      <c r="R66" s="226">
        <v>0.1</v>
      </c>
      <c r="S66" s="227">
        <f t="shared" si="32"/>
        <v>466.6</v>
      </c>
      <c r="T66" s="343" t="s">
        <v>253</v>
      </c>
      <c r="U66" s="306"/>
      <c r="V66" s="8"/>
      <c r="W66" s="8"/>
      <c r="X66" s="8"/>
      <c r="Y66" s="8"/>
    </row>
    <row r="67" spans="1:25" ht="42" outlineLevel="1">
      <c r="A67" s="221">
        <v>32</v>
      </c>
      <c r="B67" s="221">
        <v>2</v>
      </c>
      <c r="C67" s="230" t="s">
        <v>411</v>
      </c>
      <c r="D67" s="230" t="s">
        <v>417</v>
      </c>
      <c r="E67" s="230" t="s">
        <v>414</v>
      </c>
      <c r="F67" s="221" t="s">
        <v>238</v>
      </c>
      <c r="G67" s="225">
        <v>0</v>
      </c>
      <c r="H67" s="225">
        <f t="shared" si="27"/>
        <v>0</v>
      </c>
      <c r="I67" s="225">
        <f t="shared" si="28"/>
        <v>0</v>
      </c>
      <c r="J67" s="197"/>
      <c r="K67" s="224">
        <f t="shared" si="29"/>
        <v>5594.5340000000006</v>
      </c>
      <c r="L67" s="224">
        <f t="shared" si="30"/>
        <v>461.93400000000003</v>
      </c>
      <c r="M67" s="224">
        <f t="shared" si="31"/>
        <v>5132.6000000000004</v>
      </c>
      <c r="N67" s="225">
        <v>1000</v>
      </c>
      <c r="O67" s="225">
        <f>基准地下室土建清单!O126</f>
        <v>3621</v>
      </c>
      <c r="P67" s="225">
        <f>基准地下室土建清单!P126</f>
        <v>45</v>
      </c>
      <c r="Q67" s="225">
        <f>基准地下室土建清单!Q126</f>
        <v>0</v>
      </c>
      <c r="R67" s="226">
        <v>0.1</v>
      </c>
      <c r="S67" s="227">
        <f t="shared" si="32"/>
        <v>466.6</v>
      </c>
      <c r="T67" s="343" t="s">
        <v>253</v>
      </c>
      <c r="U67" s="306"/>
      <c r="V67" s="8"/>
      <c r="W67" s="8"/>
      <c r="X67" s="8"/>
      <c r="Y67" s="8"/>
    </row>
    <row r="68" spans="1:25" ht="42" outlineLevel="1">
      <c r="A68" s="221">
        <v>33</v>
      </c>
      <c r="B68" s="221">
        <v>2</v>
      </c>
      <c r="C68" s="230" t="s">
        <v>411</v>
      </c>
      <c r="D68" s="230" t="s">
        <v>418</v>
      </c>
      <c r="E68" s="230" t="s">
        <v>419</v>
      </c>
      <c r="F68" s="221" t="s">
        <v>238</v>
      </c>
      <c r="G68" s="225">
        <v>617.50369024934696</v>
      </c>
      <c r="H68" s="225">
        <f t="shared" si="27"/>
        <v>3454645.3902254403</v>
      </c>
      <c r="I68" s="225">
        <f t="shared" si="28"/>
        <v>3454645.3902254403</v>
      </c>
      <c r="J68" s="197"/>
      <c r="K68" s="224">
        <f t="shared" si="29"/>
        <v>5594.5340000000006</v>
      </c>
      <c r="L68" s="224">
        <f t="shared" si="30"/>
        <v>461.93400000000003</v>
      </c>
      <c r="M68" s="224">
        <f t="shared" si="31"/>
        <v>5132.6000000000004</v>
      </c>
      <c r="N68" s="225">
        <v>1000</v>
      </c>
      <c r="O68" s="225">
        <f>基准地下室土建清单!O127</f>
        <v>3621</v>
      </c>
      <c r="P68" s="225">
        <f>基准地下室土建清单!P127</f>
        <v>45</v>
      </c>
      <c r="Q68" s="225">
        <f>基准地下室土建清单!Q127</f>
        <v>0</v>
      </c>
      <c r="R68" s="226">
        <v>0.1</v>
      </c>
      <c r="S68" s="227">
        <f t="shared" si="32"/>
        <v>466.6</v>
      </c>
      <c r="T68" s="343" t="s">
        <v>253</v>
      </c>
      <c r="U68" s="306"/>
      <c r="V68" s="8"/>
      <c r="W68" s="8"/>
      <c r="X68" s="8"/>
      <c r="Y68" s="8"/>
    </row>
    <row r="69" spans="1:25" ht="42" outlineLevel="1">
      <c r="A69" s="221">
        <v>34</v>
      </c>
      <c r="B69" s="221">
        <v>2</v>
      </c>
      <c r="C69" s="230" t="s">
        <v>420</v>
      </c>
      <c r="D69" s="230" t="s">
        <v>409</v>
      </c>
      <c r="E69" s="230" t="s">
        <v>419</v>
      </c>
      <c r="F69" s="221" t="s">
        <v>238</v>
      </c>
      <c r="G69" s="225">
        <v>0</v>
      </c>
      <c r="H69" s="225">
        <f t="shared" si="27"/>
        <v>0</v>
      </c>
      <c r="I69" s="225">
        <f t="shared" si="28"/>
        <v>0</v>
      </c>
      <c r="J69" s="197"/>
      <c r="K69" s="224">
        <f t="shared" si="29"/>
        <v>5594.5340000000006</v>
      </c>
      <c r="L69" s="224">
        <f t="shared" si="30"/>
        <v>461.93400000000003</v>
      </c>
      <c r="M69" s="224">
        <f t="shared" si="31"/>
        <v>5132.6000000000004</v>
      </c>
      <c r="N69" s="225">
        <v>1000</v>
      </c>
      <c r="O69" s="225">
        <f>基准地下室土建清单!O128</f>
        <v>3621</v>
      </c>
      <c r="P69" s="225">
        <f>基准地下室土建清单!P128</f>
        <v>45</v>
      </c>
      <c r="Q69" s="225">
        <f>基准地下室土建清单!Q128</f>
        <v>0</v>
      </c>
      <c r="R69" s="226">
        <v>0.1</v>
      </c>
      <c r="S69" s="227">
        <f t="shared" si="32"/>
        <v>466.6</v>
      </c>
      <c r="T69" s="343" t="s">
        <v>253</v>
      </c>
      <c r="U69" s="306"/>
      <c r="V69" s="8"/>
      <c r="W69" s="8"/>
      <c r="X69" s="8"/>
      <c r="Y69" s="8"/>
    </row>
    <row r="70" spans="1:25" ht="42" outlineLevel="1">
      <c r="A70" s="221">
        <v>35</v>
      </c>
      <c r="B70" s="221">
        <v>2</v>
      </c>
      <c r="C70" s="230" t="s">
        <v>421</v>
      </c>
      <c r="D70" s="230" t="s">
        <v>412</v>
      </c>
      <c r="E70" s="230" t="s">
        <v>419</v>
      </c>
      <c r="F70" s="221" t="s">
        <v>238</v>
      </c>
      <c r="G70" s="225">
        <v>0</v>
      </c>
      <c r="H70" s="225">
        <f t="shared" si="27"/>
        <v>0</v>
      </c>
      <c r="I70" s="225">
        <f t="shared" si="28"/>
        <v>0</v>
      </c>
      <c r="J70" s="197"/>
      <c r="K70" s="224">
        <f t="shared" si="29"/>
        <v>5594.5340000000006</v>
      </c>
      <c r="L70" s="224">
        <f t="shared" si="30"/>
        <v>461.93400000000003</v>
      </c>
      <c r="M70" s="224">
        <f t="shared" si="31"/>
        <v>5132.6000000000004</v>
      </c>
      <c r="N70" s="225">
        <v>1000</v>
      </c>
      <c r="O70" s="225">
        <f>基准地下室土建清单!O129</f>
        <v>3621</v>
      </c>
      <c r="P70" s="225">
        <f>基准地下室土建清单!P129</f>
        <v>45</v>
      </c>
      <c r="Q70" s="225">
        <f>基准地下室土建清单!Q129</f>
        <v>0</v>
      </c>
      <c r="R70" s="226">
        <v>0.1</v>
      </c>
      <c r="S70" s="227">
        <f t="shared" si="32"/>
        <v>466.6</v>
      </c>
      <c r="T70" s="343" t="s">
        <v>253</v>
      </c>
      <c r="U70" s="306"/>
      <c r="V70" s="8"/>
      <c r="W70" s="8"/>
      <c r="X70" s="8"/>
      <c r="Y70" s="8"/>
    </row>
    <row r="71" spans="1:25" ht="52.5" outlineLevel="1">
      <c r="A71" s="221">
        <v>36</v>
      </c>
      <c r="B71" s="221">
        <v>2</v>
      </c>
      <c r="C71" s="230" t="s">
        <v>422</v>
      </c>
      <c r="D71" s="230" t="s">
        <v>423</v>
      </c>
      <c r="E71" s="230" t="s">
        <v>741</v>
      </c>
      <c r="F71" s="221" t="s">
        <v>238</v>
      </c>
      <c r="G71" s="225">
        <v>0</v>
      </c>
      <c r="H71" s="225">
        <f t="shared" si="27"/>
        <v>0</v>
      </c>
      <c r="I71" s="225">
        <f t="shared" si="28"/>
        <v>0</v>
      </c>
      <c r="J71" s="197"/>
      <c r="K71" s="224">
        <f t="shared" si="29"/>
        <v>6194.0340000000006</v>
      </c>
      <c r="L71" s="224">
        <f t="shared" si="30"/>
        <v>511.43400000000003</v>
      </c>
      <c r="M71" s="224">
        <f t="shared" si="31"/>
        <v>5682.6</v>
      </c>
      <c r="N71" s="225">
        <f>基准地下室土建清单!N130</f>
        <v>1500</v>
      </c>
      <c r="O71" s="225">
        <f>基准地下室土建清单!O130</f>
        <v>3621</v>
      </c>
      <c r="P71" s="225">
        <f>基准地下室土建清单!P130</f>
        <v>45</v>
      </c>
      <c r="Q71" s="225">
        <f>基准地下室土建清单!Q130</f>
        <v>0</v>
      </c>
      <c r="R71" s="226">
        <v>0.1</v>
      </c>
      <c r="S71" s="227">
        <f t="shared" si="32"/>
        <v>516.6</v>
      </c>
      <c r="T71" s="349"/>
      <c r="U71" s="306"/>
      <c r="V71" s="8"/>
      <c r="W71" s="8"/>
      <c r="X71" s="8"/>
      <c r="Y71" s="8"/>
    </row>
    <row r="72" spans="1:25" ht="13.5">
      <c r="A72" s="221"/>
      <c r="B72" s="221"/>
      <c r="C72" s="275" t="s">
        <v>248</v>
      </c>
      <c r="D72" s="230"/>
      <c r="E72" s="230"/>
      <c r="F72" s="221"/>
      <c r="G72" s="225">
        <v>0</v>
      </c>
      <c r="H72" s="344">
        <f>SUM(H36:H71)</f>
        <v>76668274.691143066</v>
      </c>
      <c r="I72" s="344">
        <f>SUM(I36:I71)</f>
        <v>76668274.691143066</v>
      </c>
      <c r="J72" s="221"/>
      <c r="K72" s="224">
        <f t="shared" si="29"/>
        <v>0</v>
      </c>
      <c r="L72" s="224">
        <f t="shared" si="30"/>
        <v>0</v>
      </c>
      <c r="M72" s="224">
        <f t="shared" si="31"/>
        <v>0</v>
      </c>
      <c r="N72" s="305"/>
      <c r="O72" s="305"/>
      <c r="P72" s="305"/>
      <c r="Q72" s="305"/>
      <c r="R72" s="226">
        <v>0.1</v>
      </c>
      <c r="S72" s="227">
        <f t="shared" si="32"/>
        <v>0</v>
      </c>
      <c r="T72" s="276"/>
      <c r="U72" s="306"/>
      <c r="V72" s="8"/>
      <c r="W72" s="8"/>
      <c r="X72" s="8"/>
      <c r="Y72" s="8"/>
    </row>
    <row r="73" spans="1:25" ht="21">
      <c r="A73" s="209" t="s">
        <v>61</v>
      </c>
      <c r="B73" s="209">
        <v>1</v>
      </c>
      <c r="C73" s="211" t="s">
        <v>742</v>
      </c>
      <c r="D73" s="211"/>
      <c r="E73" s="211"/>
      <c r="F73" s="221"/>
      <c r="G73" s="225">
        <v>0</v>
      </c>
      <c r="H73" s="221"/>
      <c r="I73" s="221"/>
      <c r="J73" s="221"/>
      <c r="K73" s="224">
        <f t="shared" si="29"/>
        <v>0</v>
      </c>
      <c r="L73" s="224">
        <f t="shared" si="30"/>
        <v>0</v>
      </c>
      <c r="M73" s="224">
        <f t="shared" si="31"/>
        <v>0</v>
      </c>
      <c r="N73" s="225"/>
      <c r="O73" s="225"/>
      <c r="P73" s="225"/>
      <c r="Q73" s="225"/>
      <c r="R73" s="226">
        <v>0.1</v>
      </c>
      <c r="S73" s="345">
        <f t="shared" si="32"/>
        <v>0</v>
      </c>
      <c r="T73" s="353"/>
      <c r="U73" s="354"/>
      <c r="Y73" s="8"/>
    </row>
    <row r="74" spans="1:25" ht="63" outlineLevel="1">
      <c r="A74" s="221">
        <v>1</v>
      </c>
      <c r="B74" s="221">
        <v>2</v>
      </c>
      <c r="C74" s="222" t="s">
        <v>743</v>
      </c>
      <c r="D74" s="222" t="s">
        <v>263</v>
      </c>
      <c r="E74" s="230" t="s">
        <v>744</v>
      </c>
      <c r="F74" s="221"/>
      <c r="G74" s="225">
        <v>12608.4813024009</v>
      </c>
      <c r="H74" s="225">
        <f t="shared" ref="H74" si="33">G74*K74</f>
        <v>0</v>
      </c>
      <c r="I74" s="225">
        <f t="shared" ref="I74" si="34">G74*K74*(1+J74)</f>
        <v>0</v>
      </c>
      <c r="J74" s="197"/>
      <c r="K74" s="224">
        <f t="shared" si="29"/>
        <v>0</v>
      </c>
      <c r="L74" s="224">
        <f t="shared" si="30"/>
        <v>0</v>
      </c>
      <c r="M74" s="224">
        <f t="shared" si="31"/>
        <v>0</v>
      </c>
      <c r="N74" s="225"/>
      <c r="O74" s="225"/>
      <c r="P74" s="225"/>
      <c r="Q74" s="225"/>
      <c r="R74" s="226">
        <v>0.1</v>
      </c>
      <c r="S74" s="227">
        <f t="shared" si="32"/>
        <v>0</v>
      </c>
      <c r="T74" s="222"/>
      <c r="U74" s="355"/>
      <c r="Y74" s="8"/>
    </row>
    <row r="75" spans="1:25" ht="31.5" outlineLevel="2">
      <c r="A75" s="221"/>
      <c r="B75" s="221">
        <v>3</v>
      </c>
      <c r="C75" s="222" t="s">
        <v>266</v>
      </c>
      <c r="D75" s="222" t="s">
        <v>745</v>
      </c>
      <c r="E75" s="222"/>
      <c r="F75" s="221" t="s">
        <v>162</v>
      </c>
      <c r="G75" s="225">
        <v>0</v>
      </c>
      <c r="H75" s="225">
        <f t="shared" ref="H75:H87" si="35">G75*K75</f>
        <v>0</v>
      </c>
      <c r="I75" s="225">
        <f t="shared" ref="I75:I87" si="36">G75*K75*(1+J75)</f>
        <v>0</v>
      </c>
      <c r="J75" s="197"/>
      <c r="K75" s="224"/>
      <c r="L75" s="224"/>
      <c r="M75" s="224"/>
      <c r="N75" s="225"/>
      <c r="O75" s="225"/>
      <c r="P75" s="282"/>
      <c r="Q75" s="225"/>
      <c r="R75" s="226"/>
      <c r="S75" s="227"/>
      <c r="T75" s="349"/>
      <c r="U75" s="355"/>
      <c r="Y75" s="8"/>
    </row>
    <row r="76" spans="1:25" ht="31.5" outlineLevel="2">
      <c r="A76" s="221"/>
      <c r="B76" s="221">
        <v>4</v>
      </c>
      <c r="C76" s="222">
        <v>1.1000000000000001</v>
      </c>
      <c r="D76" s="222" t="s">
        <v>746</v>
      </c>
      <c r="E76" s="222"/>
      <c r="F76" s="221" t="s">
        <v>162</v>
      </c>
      <c r="G76" s="225">
        <v>0</v>
      </c>
      <c r="H76" s="225">
        <f t="shared" si="35"/>
        <v>0</v>
      </c>
      <c r="I76" s="225">
        <f t="shared" si="36"/>
        <v>0</v>
      </c>
      <c r="J76" s="197"/>
      <c r="K76" s="224">
        <f t="shared" si="29"/>
        <v>466.57637931034486</v>
      </c>
      <c r="L76" s="224">
        <f t="shared" si="30"/>
        <v>38.524655172413794</v>
      </c>
      <c r="M76" s="224">
        <f t="shared" si="31"/>
        <v>428.05172413793105</v>
      </c>
      <c r="N76" s="225">
        <v>100</v>
      </c>
      <c r="O76" s="225">
        <f>320/1.16*1.03</f>
        <v>284.13793103448279</v>
      </c>
      <c r="P76" s="225"/>
      <c r="Q76" s="225">
        <v>5</v>
      </c>
      <c r="R76" s="226">
        <v>0.1</v>
      </c>
      <c r="S76" s="227">
        <f t="shared" si="32"/>
        <v>38.913793103448285</v>
      </c>
      <c r="T76" s="349"/>
      <c r="U76" s="210"/>
    </row>
    <row r="77" spans="1:25" ht="31.5" outlineLevel="2">
      <c r="A77" s="221"/>
      <c r="B77" s="221">
        <v>4</v>
      </c>
      <c r="C77" s="222">
        <v>1.2</v>
      </c>
      <c r="D77" s="222" t="s">
        <v>747</v>
      </c>
      <c r="E77" s="222"/>
      <c r="F77" s="221" t="s">
        <v>162</v>
      </c>
      <c r="G77" s="225">
        <v>441.29684558403198</v>
      </c>
      <c r="H77" s="225">
        <f t="shared" si="35"/>
        <v>100531.83439249833</v>
      </c>
      <c r="I77" s="225">
        <f t="shared" si="36"/>
        <v>100531.83439249833</v>
      </c>
      <c r="J77" s="197"/>
      <c r="K77" s="224">
        <f t="shared" si="29"/>
        <v>227.81</v>
      </c>
      <c r="L77" s="224">
        <f t="shared" si="30"/>
        <v>18.809999999999999</v>
      </c>
      <c r="M77" s="224">
        <f t="shared" si="31"/>
        <v>209</v>
      </c>
      <c r="N77" s="225">
        <v>40</v>
      </c>
      <c r="O77" s="225">
        <v>150</v>
      </c>
      <c r="P77" s="282"/>
      <c r="Q77" s="225"/>
      <c r="R77" s="226">
        <v>0.1</v>
      </c>
      <c r="S77" s="227">
        <f t="shared" si="32"/>
        <v>19</v>
      </c>
      <c r="T77" s="349"/>
      <c r="U77" s="355"/>
      <c r="W77" s="9"/>
      <c r="Y77" s="8"/>
    </row>
    <row r="78" spans="1:25" ht="63" outlineLevel="2">
      <c r="A78" s="221"/>
      <c r="B78" s="221">
        <v>3</v>
      </c>
      <c r="C78" s="222" t="s">
        <v>269</v>
      </c>
      <c r="D78" s="222" t="s">
        <v>2040</v>
      </c>
      <c r="E78" s="222"/>
      <c r="F78" s="221" t="s">
        <v>265</v>
      </c>
      <c r="G78" s="225">
        <v>12608.4813024009</v>
      </c>
      <c r="H78" s="225">
        <f t="shared" si="35"/>
        <v>0</v>
      </c>
      <c r="I78" s="225">
        <f t="shared" si="36"/>
        <v>0</v>
      </c>
      <c r="J78" s="197"/>
      <c r="K78" s="224"/>
      <c r="L78" s="224"/>
      <c r="M78" s="224"/>
      <c r="N78" s="282"/>
      <c r="O78" s="282"/>
      <c r="P78" s="282"/>
      <c r="Q78" s="282"/>
      <c r="R78" s="226"/>
      <c r="S78" s="227"/>
      <c r="T78" s="349"/>
      <c r="U78" s="355"/>
      <c r="V78" s="10"/>
      <c r="W78" s="10"/>
      <c r="X78" s="10"/>
    </row>
    <row r="79" spans="1:25" ht="52.5" outlineLevel="2">
      <c r="A79" s="221"/>
      <c r="B79" s="221">
        <v>4</v>
      </c>
      <c r="C79" s="222">
        <v>2.1</v>
      </c>
      <c r="D79" s="222" t="s">
        <v>466</v>
      </c>
      <c r="E79" s="222"/>
      <c r="F79" s="221" t="s">
        <v>265</v>
      </c>
      <c r="G79" s="225">
        <v>0</v>
      </c>
      <c r="H79" s="225">
        <f t="shared" si="35"/>
        <v>0</v>
      </c>
      <c r="I79" s="225">
        <f t="shared" si="36"/>
        <v>0</v>
      </c>
      <c r="J79" s="197"/>
      <c r="K79" s="224">
        <f t="shared" ref="K79:K87" si="37">L79+M79</f>
        <v>23.919595495186407</v>
      </c>
      <c r="L79" s="224">
        <f t="shared" ref="L79:L87" si="38">M79*0.09</f>
        <v>1.9750124720796114</v>
      </c>
      <c r="M79" s="224">
        <f t="shared" ref="M79:M87" si="39">N79+O79+P79+Q79+S79</f>
        <v>21.944583023106794</v>
      </c>
      <c r="N79" s="282">
        <v>12</v>
      </c>
      <c r="O79" s="282">
        <f>8.3022*调差材料基价表!E63/1000+调差材料基价表!E64*0.0271+0.2</f>
        <v>7.9496209300970859</v>
      </c>
      <c r="P79" s="282"/>
      <c r="Q79" s="282">
        <v>0</v>
      </c>
      <c r="R79" s="226">
        <v>0.1</v>
      </c>
      <c r="S79" s="227">
        <f t="shared" ref="S79:S87" si="40">SUM(N79:Q79)*R79</f>
        <v>1.9949620930097087</v>
      </c>
      <c r="T79" s="307" t="s">
        <v>324</v>
      </c>
      <c r="U79" s="355"/>
      <c r="Y79" s="8"/>
    </row>
    <row r="80" spans="1:25" ht="21" outlineLevel="2">
      <c r="A80" s="221"/>
      <c r="B80" s="221">
        <v>4</v>
      </c>
      <c r="C80" s="222">
        <v>2.2000000000000002</v>
      </c>
      <c r="D80" s="222" t="s">
        <v>748</v>
      </c>
      <c r="E80" s="222"/>
      <c r="F80" s="221" t="s">
        <v>265</v>
      </c>
      <c r="G80" s="225"/>
      <c r="H80" s="225">
        <f t="shared" si="35"/>
        <v>0</v>
      </c>
      <c r="I80" s="225">
        <f t="shared" si="36"/>
        <v>0</v>
      </c>
      <c r="J80" s="197"/>
      <c r="K80" s="224">
        <f t="shared" si="37"/>
        <v>0</v>
      </c>
      <c r="L80" s="224">
        <f t="shared" si="38"/>
        <v>0</v>
      </c>
      <c r="M80" s="224">
        <f t="shared" si="39"/>
        <v>0</v>
      </c>
      <c r="N80" s="356"/>
      <c r="O80" s="356"/>
      <c r="P80" s="356"/>
      <c r="Q80" s="356"/>
      <c r="R80" s="226">
        <v>0.1</v>
      </c>
      <c r="S80" s="227">
        <f t="shared" si="40"/>
        <v>0</v>
      </c>
      <c r="T80" s="222"/>
      <c r="U80" s="355"/>
      <c r="Y80" s="8"/>
    </row>
    <row r="81" spans="1:25" ht="52.5" outlineLevel="2">
      <c r="A81" s="221"/>
      <c r="B81" s="221">
        <v>4</v>
      </c>
      <c r="C81" s="222">
        <v>2.2999999999999998</v>
      </c>
      <c r="D81" s="222" t="s">
        <v>2042</v>
      </c>
      <c r="E81" s="222"/>
      <c r="F81" s="221" t="s">
        <v>265</v>
      </c>
      <c r="G81" s="225">
        <v>12608.4813024009</v>
      </c>
      <c r="H81" s="225">
        <f t="shared" si="35"/>
        <v>256237.06531731458</v>
      </c>
      <c r="I81" s="225">
        <f t="shared" si="36"/>
        <v>256237.06531731458</v>
      </c>
      <c r="J81" s="197"/>
      <c r="K81" s="224">
        <f t="shared" si="37"/>
        <v>20.322595495186409</v>
      </c>
      <c r="L81" s="224">
        <f t="shared" si="38"/>
        <v>1.6780124720796117</v>
      </c>
      <c r="M81" s="224">
        <f t="shared" si="39"/>
        <v>18.644583023106797</v>
      </c>
      <c r="N81" s="282">
        <v>12</v>
      </c>
      <c r="O81" s="282">
        <f>8.3022*调差材料基价表!E63/1000+调差材料基价表!E64*0.0271+0.2-3</f>
        <v>4.9496209300970859</v>
      </c>
      <c r="P81" s="282"/>
      <c r="Q81" s="282">
        <v>0</v>
      </c>
      <c r="R81" s="226">
        <v>0.1</v>
      </c>
      <c r="S81" s="227">
        <f t="shared" si="40"/>
        <v>1.6949620930097087</v>
      </c>
      <c r="T81" s="222" t="s">
        <v>749</v>
      </c>
      <c r="U81" s="355"/>
      <c r="V81" s="10"/>
      <c r="W81" s="10"/>
      <c r="X81" s="10"/>
    </row>
    <row r="82" spans="1:25" ht="52.5" outlineLevel="2">
      <c r="A82" s="221"/>
      <c r="B82" s="221">
        <v>3</v>
      </c>
      <c r="C82" s="222" t="s">
        <v>275</v>
      </c>
      <c r="D82" s="222" t="s">
        <v>750</v>
      </c>
      <c r="E82" s="222"/>
      <c r="F82" s="221" t="s">
        <v>265</v>
      </c>
      <c r="G82" s="225">
        <v>0</v>
      </c>
      <c r="H82" s="225">
        <f t="shared" si="35"/>
        <v>0</v>
      </c>
      <c r="I82" s="225">
        <f t="shared" si="36"/>
        <v>0</v>
      </c>
      <c r="J82" s="197"/>
      <c r="K82" s="224">
        <f t="shared" si="37"/>
        <v>0</v>
      </c>
      <c r="L82" s="224">
        <f t="shared" si="38"/>
        <v>0</v>
      </c>
      <c r="M82" s="224">
        <f t="shared" si="39"/>
        <v>0</v>
      </c>
      <c r="N82" s="356"/>
      <c r="O82" s="356"/>
      <c r="P82" s="356"/>
      <c r="Q82" s="356"/>
      <c r="R82" s="226">
        <v>0.1</v>
      </c>
      <c r="S82" s="227">
        <f t="shared" si="40"/>
        <v>0</v>
      </c>
      <c r="T82" s="349"/>
      <c r="U82" s="355"/>
      <c r="V82" s="9"/>
      <c r="Y82" s="8"/>
    </row>
    <row r="83" spans="1:25" ht="73.5" outlineLevel="2">
      <c r="A83" s="221"/>
      <c r="B83" s="221">
        <v>3</v>
      </c>
      <c r="C83" s="222" t="s">
        <v>278</v>
      </c>
      <c r="D83" s="222" t="s">
        <v>751</v>
      </c>
      <c r="E83" s="222"/>
      <c r="F83" s="221" t="s">
        <v>265</v>
      </c>
      <c r="G83" s="225">
        <v>13238.905367521</v>
      </c>
      <c r="H83" s="225">
        <f t="shared" si="35"/>
        <v>293658.77940966707</v>
      </c>
      <c r="I83" s="225">
        <f t="shared" si="36"/>
        <v>293658.77940966707</v>
      </c>
      <c r="J83" s="197"/>
      <c r="K83" s="224">
        <f t="shared" si="37"/>
        <v>22.1815</v>
      </c>
      <c r="L83" s="224">
        <f t="shared" si="38"/>
        <v>1.8315000000000001</v>
      </c>
      <c r="M83" s="224">
        <f t="shared" si="39"/>
        <v>20.350000000000001</v>
      </c>
      <c r="N83" s="282">
        <v>12</v>
      </c>
      <c r="O83" s="282">
        <v>5</v>
      </c>
      <c r="P83" s="282">
        <v>1.5</v>
      </c>
      <c r="Q83" s="356"/>
      <c r="R83" s="226">
        <v>0.1</v>
      </c>
      <c r="S83" s="227">
        <f t="shared" si="40"/>
        <v>1.85</v>
      </c>
      <c r="T83" s="349"/>
      <c r="U83" s="355"/>
      <c r="V83" s="9"/>
      <c r="Y83" s="8"/>
    </row>
    <row r="84" spans="1:25" ht="52.5" outlineLevel="2">
      <c r="A84" s="221"/>
      <c r="B84" s="221">
        <v>3</v>
      </c>
      <c r="C84" s="222" t="s">
        <v>308</v>
      </c>
      <c r="D84" s="222" t="s">
        <v>2021</v>
      </c>
      <c r="E84" s="222" t="s">
        <v>482</v>
      </c>
      <c r="F84" s="221" t="s">
        <v>162</v>
      </c>
      <c r="G84" s="225">
        <v>1197.80572372809</v>
      </c>
      <c r="H84" s="225">
        <f t="shared" si="35"/>
        <v>796355.74529486394</v>
      </c>
      <c r="I84" s="225">
        <f t="shared" si="36"/>
        <v>796355.74529486394</v>
      </c>
      <c r="J84" s="197"/>
      <c r="K84" s="224">
        <f t="shared" si="37"/>
        <v>664.84550000000002</v>
      </c>
      <c r="L84" s="224">
        <f t="shared" si="38"/>
        <v>54.895500000000006</v>
      </c>
      <c r="M84" s="224">
        <f t="shared" si="39"/>
        <v>609.95000000000005</v>
      </c>
      <c r="N84" s="221">
        <v>50</v>
      </c>
      <c r="O84" s="221">
        <f>500</f>
        <v>500</v>
      </c>
      <c r="P84" s="282">
        <v>3</v>
      </c>
      <c r="Q84" s="282">
        <v>1.5</v>
      </c>
      <c r="R84" s="226">
        <v>0.1</v>
      </c>
      <c r="S84" s="227">
        <f t="shared" si="40"/>
        <v>55.45</v>
      </c>
      <c r="T84" s="349"/>
      <c r="U84" s="355"/>
      <c r="Y84" s="11"/>
    </row>
    <row r="85" spans="1:25" ht="105" outlineLevel="2">
      <c r="A85" s="221"/>
      <c r="B85" s="221">
        <v>3</v>
      </c>
      <c r="C85" s="222" t="s">
        <v>457</v>
      </c>
      <c r="D85" s="222" t="s">
        <v>752</v>
      </c>
      <c r="E85" s="222"/>
      <c r="F85" s="221" t="s">
        <v>265</v>
      </c>
      <c r="G85" s="225">
        <v>12608.4813024009</v>
      </c>
      <c r="H85" s="225">
        <f t="shared" si="35"/>
        <v>0</v>
      </c>
      <c r="I85" s="225">
        <f t="shared" si="36"/>
        <v>0</v>
      </c>
      <c r="J85" s="197"/>
      <c r="K85" s="224">
        <f t="shared" si="37"/>
        <v>0</v>
      </c>
      <c r="L85" s="224">
        <f t="shared" si="38"/>
        <v>0</v>
      </c>
      <c r="M85" s="224">
        <f t="shared" si="39"/>
        <v>0</v>
      </c>
      <c r="N85" s="282"/>
      <c r="O85" s="282"/>
      <c r="P85" s="282"/>
      <c r="Q85" s="282"/>
      <c r="R85" s="226">
        <v>0.1</v>
      </c>
      <c r="S85" s="227">
        <f t="shared" si="40"/>
        <v>0</v>
      </c>
      <c r="T85" s="349"/>
      <c r="U85" s="355"/>
      <c r="Y85" s="8"/>
    </row>
    <row r="86" spans="1:25" ht="84" outlineLevel="2">
      <c r="A86" s="221"/>
      <c r="B86" s="221">
        <v>4</v>
      </c>
      <c r="C86" s="222">
        <v>6.1</v>
      </c>
      <c r="D86" s="222" t="s">
        <v>753</v>
      </c>
      <c r="E86" s="222"/>
      <c r="F86" s="221" t="s">
        <v>265</v>
      </c>
      <c r="G86" s="225">
        <v>0</v>
      </c>
      <c r="H86" s="225">
        <f t="shared" si="35"/>
        <v>0</v>
      </c>
      <c r="I86" s="225">
        <f t="shared" si="36"/>
        <v>0</v>
      </c>
      <c r="J86" s="197"/>
      <c r="K86" s="224">
        <f t="shared" si="37"/>
        <v>50.071171262135898</v>
      </c>
      <c r="L86" s="224">
        <f t="shared" si="38"/>
        <v>4.1343168932038816</v>
      </c>
      <c r="M86" s="224">
        <f t="shared" si="39"/>
        <v>45.936854368932018</v>
      </c>
      <c r="N86" s="282">
        <v>14</v>
      </c>
      <c r="O86" s="282">
        <f>0.0408*调差材料基价表!E12</f>
        <v>16.240776699029109</v>
      </c>
      <c r="P86" s="282">
        <f>(1/0.15)*2*0.18*一级钢综合/1000+3</f>
        <v>11.52</v>
      </c>
      <c r="Q86" s="282">
        <v>0</v>
      </c>
      <c r="R86" s="226">
        <v>0.1</v>
      </c>
      <c r="S86" s="227">
        <f t="shared" si="40"/>
        <v>4.1760776699029112</v>
      </c>
      <c r="T86" s="349" t="s">
        <v>754</v>
      </c>
      <c r="U86" s="355"/>
      <c r="W86" s="9" t="s">
        <v>54</v>
      </c>
      <c r="Y86" s="8"/>
    </row>
    <row r="87" spans="1:25" ht="84" outlineLevel="2">
      <c r="A87" s="221"/>
      <c r="B87" s="221">
        <v>4</v>
      </c>
      <c r="C87" s="222">
        <v>6.2</v>
      </c>
      <c r="D87" s="222" t="s">
        <v>2143</v>
      </c>
      <c r="E87" s="222"/>
      <c r="F87" s="221" t="s">
        <v>265</v>
      </c>
      <c r="G87" s="225">
        <v>12608.4813024009</v>
      </c>
      <c r="H87" s="225">
        <f t="shared" si="35"/>
        <v>642591.57439827069</v>
      </c>
      <c r="I87" s="225">
        <f t="shared" si="36"/>
        <v>642591.57439827069</v>
      </c>
      <c r="J87" s="197"/>
      <c r="K87" s="224">
        <f t="shared" si="37"/>
        <v>50.965025762135902</v>
      </c>
      <c r="L87" s="224">
        <f t="shared" si="38"/>
        <v>4.2081213932038812</v>
      </c>
      <c r="M87" s="224">
        <f t="shared" si="39"/>
        <v>46.75690436893202</v>
      </c>
      <c r="N87" s="282">
        <v>14</v>
      </c>
      <c r="O87" s="282">
        <f>O86</f>
        <v>16.240776699029109</v>
      </c>
      <c r="P87" s="282">
        <f>(1/0.2)*2*0.261*一级钢综合/1000+3</f>
        <v>12.265500000000001</v>
      </c>
      <c r="Q87" s="282">
        <v>0</v>
      </c>
      <c r="R87" s="226">
        <v>0.1</v>
      </c>
      <c r="S87" s="227">
        <f t="shared" si="40"/>
        <v>4.2506276699029106</v>
      </c>
      <c r="T87" s="349" t="s">
        <v>281</v>
      </c>
      <c r="U87" s="355"/>
      <c r="Y87" s="8"/>
    </row>
    <row r="88" spans="1:25" ht="63" outlineLevel="1">
      <c r="A88" s="221">
        <v>2</v>
      </c>
      <c r="B88" s="221">
        <v>2</v>
      </c>
      <c r="C88" s="222" t="s">
        <v>755</v>
      </c>
      <c r="D88" s="222" t="s">
        <v>263</v>
      </c>
      <c r="E88" s="230" t="s">
        <v>744</v>
      </c>
      <c r="F88" s="221" t="s">
        <v>265</v>
      </c>
      <c r="G88" s="225">
        <v>0</v>
      </c>
      <c r="H88" s="225">
        <f t="shared" ref="H88:H138" si="41">G88*K88</f>
        <v>0</v>
      </c>
      <c r="I88" s="225">
        <f t="shared" ref="I88:I138" si="42">G88*K88*(1+J88)</f>
        <v>0</v>
      </c>
      <c r="J88" s="197"/>
      <c r="K88" s="224">
        <f t="shared" ref="K88:K133" si="43">L88+M88</f>
        <v>0</v>
      </c>
      <c r="L88" s="224">
        <f t="shared" ref="L88:L133" si="44">M88*0.09</f>
        <v>0</v>
      </c>
      <c r="M88" s="224">
        <f t="shared" ref="M88:M133" si="45">N88+O88+P88+Q88+S88</f>
        <v>0</v>
      </c>
      <c r="N88" s="305"/>
      <c r="O88" s="305"/>
      <c r="P88" s="305"/>
      <c r="Q88" s="305"/>
      <c r="R88" s="226">
        <v>0.1</v>
      </c>
      <c r="S88" s="227">
        <f t="shared" ref="S88:S133" si="46">SUM(N88:Q88)*R88</f>
        <v>0</v>
      </c>
      <c r="T88" s="222"/>
      <c r="U88" s="220"/>
      <c r="V88" s="8" t="s">
        <v>756</v>
      </c>
      <c r="W88" s="8"/>
      <c r="X88" s="8"/>
      <c r="Y88" s="8"/>
    </row>
    <row r="89" spans="1:25" ht="31.5" outlineLevel="2">
      <c r="A89" s="221"/>
      <c r="B89" s="221">
        <v>3</v>
      </c>
      <c r="C89" s="222" t="s">
        <v>266</v>
      </c>
      <c r="D89" s="222" t="s">
        <v>747</v>
      </c>
      <c r="E89" s="222"/>
      <c r="F89" s="221" t="s">
        <v>162</v>
      </c>
      <c r="G89" s="225">
        <v>0</v>
      </c>
      <c r="H89" s="225">
        <f t="shared" si="41"/>
        <v>0</v>
      </c>
      <c r="I89" s="225">
        <f t="shared" si="42"/>
        <v>0</v>
      </c>
      <c r="J89" s="197"/>
      <c r="K89" s="224">
        <f t="shared" si="43"/>
        <v>0</v>
      </c>
      <c r="L89" s="224">
        <f t="shared" si="44"/>
        <v>0</v>
      </c>
      <c r="M89" s="224">
        <f t="shared" si="45"/>
        <v>0</v>
      </c>
      <c r="N89" s="225"/>
      <c r="O89" s="225"/>
      <c r="P89" s="225"/>
      <c r="Q89" s="225"/>
      <c r="R89" s="226">
        <v>0.1</v>
      </c>
      <c r="S89" s="227">
        <f t="shared" si="46"/>
        <v>0</v>
      </c>
      <c r="T89" s="349"/>
      <c r="U89" s="220"/>
      <c r="V89" s="8"/>
      <c r="W89" s="8"/>
      <c r="X89" s="8"/>
      <c r="Y89" s="8"/>
    </row>
    <row r="90" spans="1:25" ht="31.5" outlineLevel="2">
      <c r="A90" s="221"/>
      <c r="B90" s="221">
        <v>4</v>
      </c>
      <c r="C90" s="222">
        <v>1.1000000000000001</v>
      </c>
      <c r="D90" s="222" t="s">
        <v>746</v>
      </c>
      <c r="E90" s="222"/>
      <c r="F90" s="221" t="s">
        <v>162</v>
      </c>
      <c r="G90" s="225">
        <v>0</v>
      </c>
      <c r="H90" s="225">
        <f t="shared" si="41"/>
        <v>0</v>
      </c>
      <c r="I90" s="225">
        <f t="shared" si="42"/>
        <v>0</v>
      </c>
      <c r="J90" s="197"/>
      <c r="K90" s="224">
        <f t="shared" si="43"/>
        <v>466.57637931034486</v>
      </c>
      <c r="L90" s="224">
        <f t="shared" si="44"/>
        <v>38.524655172413794</v>
      </c>
      <c r="M90" s="224">
        <f t="shared" si="45"/>
        <v>428.05172413793105</v>
      </c>
      <c r="N90" s="225">
        <f>N76</f>
        <v>100</v>
      </c>
      <c r="O90" s="225">
        <f>320/1.16*1.03</f>
        <v>284.13793103448279</v>
      </c>
      <c r="P90" s="225">
        <f>P76</f>
        <v>0</v>
      </c>
      <c r="Q90" s="225">
        <v>5</v>
      </c>
      <c r="R90" s="226">
        <v>0.1</v>
      </c>
      <c r="S90" s="227">
        <f t="shared" si="46"/>
        <v>38.913793103448285</v>
      </c>
      <c r="T90" s="349"/>
      <c r="U90" s="220"/>
      <c r="V90" s="8"/>
      <c r="W90" s="8"/>
      <c r="X90" s="8"/>
      <c r="Y90" s="8"/>
    </row>
    <row r="91" spans="1:25" ht="31.5" outlineLevel="2">
      <c r="A91" s="221"/>
      <c r="B91" s="221">
        <v>4</v>
      </c>
      <c r="C91" s="222">
        <v>1.2</v>
      </c>
      <c r="D91" s="222" t="s">
        <v>747</v>
      </c>
      <c r="E91" s="222"/>
      <c r="F91" s="221" t="s">
        <v>162</v>
      </c>
      <c r="G91" s="225">
        <v>0</v>
      </c>
      <c r="H91" s="225">
        <f t="shared" si="41"/>
        <v>0</v>
      </c>
      <c r="I91" s="225">
        <f t="shared" si="42"/>
        <v>0</v>
      </c>
      <c r="J91" s="197"/>
      <c r="K91" s="224">
        <f t="shared" si="43"/>
        <v>227.81</v>
      </c>
      <c r="L91" s="224">
        <f t="shared" si="44"/>
        <v>18.809999999999999</v>
      </c>
      <c r="M91" s="224">
        <f t="shared" si="45"/>
        <v>209</v>
      </c>
      <c r="N91" s="225">
        <f>N77</f>
        <v>40</v>
      </c>
      <c r="O91" s="225">
        <v>150</v>
      </c>
      <c r="P91" s="225">
        <f>P77</f>
        <v>0</v>
      </c>
      <c r="Q91" s="225"/>
      <c r="R91" s="226">
        <v>0.1</v>
      </c>
      <c r="S91" s="227">
        <f t="shared" ref="S91" si="47">SUM(N91:Q91)*R91</f>
        <v>19</v>
      </c>
      <c r="T91" s="349"/>
      <c r="U91" s="220"/>
      <c r="V91" s="8"/>
      <c r="W91" s="8"/>
      <c r="X91" s="8"/>
      <c r="Y91" s="8"/>
    </row>
    <row r="92" spans="1:25" ht="63" outlineLevel="2">
      <c r="A92" s="221"/>
      <c r="B92" s="221">
        <v>3</v>
      </c>
      <c r="C92" s="222" t="s">
        <v>269</v>
      </c>
      <c r="D92" s="222" t="s">
        <v>2041</v>
      </c>
      <c r="E92" s="222"/>
      <c r="F92" s="221" t="s">
        <v>265</v>
      </c>
      <c r="G92" s="225">
        <v>0</v>
      </c>
      <c r="H92" s="225">
        <f t="shared" si="41"/>
        <v>0</v>
      </c>
      <c r="I92" s="225">
        <f t="shared" si="42"/>
        <v>0</v>
      </c>
      <c r="J92" s="197"/>
      <c r="K92" s="224"/>
      <c r="L92" s="224"/>
      <c r="M92" s="224"/>
      <c r="N92" s="282"/>
      <c r="O92" s="282"/>
      <c r="P92" s="282"/>
      <c r="Q92" s="282"/>
      <c r="R92" s="226"/>
      <c r="S92" s="227"/>
      <c r="T92" s="357"/>
      <c r="U92" s="220"/>
      <c r="V92" s="8"/>
      <c r="W92" s="8"/>
      <c r="X92" s="8"/>
      <c r="Y92" s="8"/>
    </row>
    <row r="93" spans="1:25" ht="52.5" outlineLevel="2">
      <c r="A93" s="221"/>
      <c r="B93" s="221">
        <v>4</v>
      </c>
      <c r="C93" s="222">
        <v>2.1</v>
      </c>
      <c r="D93" s="222" t="s">
        <v>466</v>
      </c>
      <c r="E93" s="222"/>
      <c r="F93" s="221" t="s">
        <v>265</v>
      </c>
      <c r="G93" s="225">
        <v>0</v>
      </c>
      <c r="H93" s="225">
        <f t="shared" si="41"/>
        <v>0</v>
      </c>
      <c r="I93" s="225">
        <f t="shared" si="42"/>
        <v>0</v>
      </c>
      <c r="J93" s="197"/>
      <c r="K93" s="224">
        <f t="shared" si="43"/>
        <v>26.31759549518641</v>
      </c>
      <c r="L93" s="224">
        <f t="shared" si="44"/>
        <v>2.1730124720796118</v>
      </c>
      <c r="M93" s="224">
        <f t="shared" si="45"/>
        <v>24.144583023106797</v>
      </c>
      <c r="N93" s="282">
        <v>14</v>
      </c>
      <c r="O93" s="282">
        <f>8.3022*调差材料基价表!E63/1000+调差材料基价表!E64*0.0271+0.2</f>
        <v>7.9496209300970859</v>
      </c>
      <c r="P93" s="282"/>
      <c r="Q93" s="282">
        <v>0</v>
      </c>
      <c r="R93" s="226">
        <v>0.1</v>
      </c>
      <c r="S93" s="227">
        <f t="shared" si="46"/>
        <v>2.1949620930097087</v>
      </c>
      <c r="T93" s="222" t="s">
        <v>324</v>
      </c>
      <c r="U93" s="220"/>
      <c r="V93" s="8"/>
      <c r="W93" s="8"/>
      <c r="X93" s="8"/>
      <c r="Y93" s="8"/>
    </row>
    <row r="94" spans="1:25" ht="21" outlineLevel="2">
      <c r="A94" s="221"/>
      <c r="B94" s="221">
        <v>4</v>
      </c>
      <c r="C94" s="222">
        <v>2.2000000000000002</v>
      </c>
      <c r="D94" s="222" t="s">
        <v>748</v>
      </c>
      <c r="E94" s="222"/>
      <c r="F94" s="221" t="s">
        <v>265</v>
      </c>
      <c r="G94" s="225">
        <v>0</v>
      </c>
      <c r="H94" s="225">
        <f t="shared" si="41"/>
        <v>0</v>
      </c>
      <c r="I94" s="225">
        <f t="shared" si="42"/>
        <v>0</v>
      </c>
      <c r="J94" s="197"/>
      <c r="K94" s="224">
        <f t="shared" si="43"/>
        <v>0</v>
      </c>
      <c r="L94" s="224">
        <f t="shared" si="44"/>
        <v>0</v>
      </c>
      <c r="M94" s="224">
        <f t="shared" si="45"/>
        <v>0</v>
      </c>
      <c r="N94" s="356"/>
      <c r="O94" s="356"/>
      <c r="P94" s="356"/>
      <c r="Q94" s="356"/>
      <c r="R94" s="226">
        <v>0.1</v>
      </c>
      <c r="S94" s="227">
        <f t="shared" si="46"/>
        <v>0</v>
      </c>
      <c r="T94" s="222"/>
      <c r="U94" s="220"/>
      <c r="V94" s="8"/>
      <c r="W94" s="8"/>
      <c r="X94" s="8"/>
      <c r="Y94" s="8"/>
    </row>
    <row r="95" spans="1:25" ht="52.5" outlineLevel="2">
      <c r="A95" s="221"/>
      <c r="B95" s="221">
        <v>4</v>
      </c>
      <c r="C95" s="222">
        <v>2.2999999999999998</v>
      </c>
      <c r="D95" s="222" t="s">
        <v>2042</v>
      </c>
      <c r="E95" s="222"/>
      <c r="F95" s="221" t="s">
        <v>265</v>
      </c>
      <c r="G95" s="225">
        <v>0</v>
      </c>
      <c r="H95" s="225">
        <f t="shared" si="41"/>
        <v>0</v>
      </c>
      <c r="I95" s="225">
        <f t="shared" si="42"/>
        <v>0</v>
      </c>
      <c r="J95" s="197"/>
      <c r="K95" s="224">
        <f t="shared" si="43"/>
        <v>22.720595495186409</v>
      </c>
      <c r="L95" s="224">
        <f t="shared" si="44"/>
        <v>1.8760124720796116</v>
      </c>
      <c r="M95" s="224">
        <f t="shared" si="45"/>
        <v>20.844583023106797</v>
      </c>
      <c r="N95" s="282">
        <v>14</v>
      </c>
      <c r="O95" s="282">
        <f>8.3022*调差材料基价表!E63/1000+调差材料基价表!E64*0.0271+0.2-3</f>
        <v>4.9496209300970859</v>
      </c>
      <c r="P95" s="282"/>
      <c r="Q95" s="282">
        <v>0</v>
      </c>
      <c r="R95" s="226">
        <v>0.1</v>
      </c>
      <c r="S95" s="227">
        <f t="shared" si="46"/>
        <v>1.8949620930097089</v>
      </c>
      <c r="T95" s="222" t="s">
        <v>749</v>
      </c>
      <c r="U95" s="220"/>
    </row>
    <row r="96" spans="1:25" ht="52.5" outlineLevel="2">
      <c r="A96" s="221"/>
      <c r="B96" s="221">
        <v>3</v>
      </c>
      <c r="C96" s="222" t="s">
        <v>275</v>
      </c>
      <c r="D96" s="222" t="s">
        <v>750</v>
      </c>
      <c r="E96" s="222"/>
      <c r="F96" s="221" t="s">
        <v>265</v>
      </c>
      <c r="G96" s="225">
        <v>0</v>
      </c>
      <c r="H96" s="225">
        <f t="shared" si="41"/>
        <v>0</v>
      </c>
      <c r="I96" s="225">
        <f t="shared" si="42"/>
        <v>0</v>
      </c>
      <c r="J96" s="197"/>
      <c r="K96" s="224">
        <f t="shared" si="43"/>
        <v>17.3855</v>
      </c>
      <c r="L96" s="224">
        <f t="shared" si="44"/>
        <v>1.4354999999999998</v>
      </c>
      <c r="M96" s="224">
        <f t="shared" si="45"/>
        <v>15.95</v>
      </c>
      <c r="N96" s="282">
        <v>8.5</v>
      </c>
      <c r="O96" s="282">
        <v>5</v>
      </c>
      <c r="P96" s="282">
        <v>1</v>
      </c>
      <c r="Q96" s="356"/>
      <c r="R96" s="226">
        <v>0.1</v>
      </c>
      <c r="S96" s="227">
        <f t="shared" si="46"/>
        <v>1.4500000000000002</v>
      </c>
      <c r="T96" s="349"/>
      <c r="U96" s="220"/>
      <c r="V96" s="8"/>
      <c r="W96" s="8"/>
      <c r="X96" s="8"/>
      <c r="Y96" s="8"/>
    </row>
    <row r="97" spans="1:25" ht="73.5" outlineLevel="2">
      <c r="A97" s="221"/>
      <c r="B97" s="221">
        <v>3</v>
      </c>
      <c r="C97" s="222" t="s">
        <v>278</v>
      </c>
      <c r="D97" s="222" t="s">
        <v>751</v>
      </c>
      <c r="E97" s="222"/>
      <c r="F97" s="221" t="s">
        <v>265</v>
      </c>
      <c r="G97" s="225">
        <v>0</v>
      </c>
      <c r="H97" s="225">
        <f t="shared" si="41"/>
        <v>0</v>
      </c>
      <c r="I97" s="225">
        <f t="shared" si="42"/>
        <v>0</v>
      </c>
      <c r="J97" s="197"/>
      <c r="K97" s="224">
        <f t="shared" si="43"/>
        <v>22.1815</v>
      </c>
      <c r="L97" s="224">
        <f t="shared" si="44"/>
        <v>1.8315000000000001</v>
      </c>
      <c r="M97" s="224">
        <f t="shared" si="45"/>
        <v>20.350000000000001</v>
      </c>
      <c r="N97" s="282">
        <v>12</v>
      </c>
      <c r="O97" s="282">
        <v>5</v>
      </c>
      <c r="P97" s="282">
        <v>1.5</v>
      </c>
      <c r="Q97" s="356"/>
      <c r="R97" s="226">
        <v>0.1</v>
      </c>
      <c r="S97" s="227">
        <f t="shared" si="46"/>
        <v>1.85</v>
      </c>
      <c r="T97" s="349"/>
      <c r="U97" s="220"/>
      <c r="V97" s="8"/>
      <c r="W97" s="8"/>
      <c r="X97" s="8"/>
      <c r="Y97" s="8"/>
    </row>
    <row r="98" spans="1:25" ht="105" outlineLevel="2">
      <c r="A98" s="221"/>
      <c r="B98" s="221">
        <v>3</v>
      </c>
      <c r="C98" s="222" t="s">
        <v>308</v>
      </c>
      <c r="D98" s="222" t="s">
        <v>757</v>
      </c>
      <c r="E98" s="222"/>
      <c r="F98" s="221" t="s">
        <v>265</v>
      </c>
      <c r="G98" s="225">
        <v>0</v>
      </c>
      <c r="H98" s="225">
        <f t="shared" si="41"/>
        <v>0</v>
      </c>
      <c r="I98" s="225">
        <f t="shared" si="42"/>
        <v>0</v>
      </c>
      <c r="J98" s="197"/>
      <c r="K98" s="224"/>
      <c r="L98" s="224"/>
      <c r="M98" s="224"/>
      <c r="N98" s="282"/>
      <c r="O98" s="282"/>
      <c r="P98" s="282"/>
      <c r="Q98" s="282"/>
      <c r="R98" s="226"/>
      <c r="S98" s="227"/>
      <c r="T98" s="349"/>
      <c r="U98" s="220"/>
      <c r="V98" s="8"/>
      <c r="W98" s="8"/>
      <c r="X98" s="8"/>
      <c r="Y98" s="8"/>
    </row>
    <row r="99" spans="1:25" ht="84" outlineLevel="2">
      <c r="A99" s="221"/>
      <c r="B99" s="221">
        <v>4</v>
      </c>
      <c r="C99" s="222">
        <v>5.0999999999999996</v>
      </c>
      <c r="D99" s="222" t="s">
        <v>753</v>
      </c>
      <c r="E99" s="222"/>
      <c r="F99" s="221" t="s">
        <v>265</v>
      </c>
      <c r="G99" s="225">
        <v>0</v>
      </c>
      <c r="H99" s="225">
        <f t="shared" si="41"/>
        <v>0</v>
      </c>
      <c r="I99" s="225">
        <f t="shared" si="42"/>
        <v>0</v>
      </c>
      <c r="J99" s="197"/>
      <c r="K99" s="224">
        <f t="shared" si="43"/>
        <v>50.071171262135898</v>
      </c>
      <c r="L99" s="224">
        <f t="shared" si="44"/>
        <v>4.1343168932038816</v>
      </c>
      <c r="M99" s="224">
        <f t="shared" si="45"/>
        <v>45.936854368932018</v>
      </c>
      <c r="N99" s="282">
        <v>14</v>
      </c>
      <c r="O99" s="282">
        <f>0.0408*调差材料基价表!E12</f>
        <v>16.240776699029109</v>
      </c>
      <c r="P99" s="282">
        <f>(1/0.15)*2*0.18*一级钢综合/1000+3</f>
        <v>11.52</v>
      </c>
      <c r="Q99" s="282">
        <v>0</v>
      </c>
      <c r="R99" s="226">
        <v>0.1</v>
      </c>
      <c r="S99" s="227">
        <f t="shared" si="46"/>
        <v>4.1760776699029112</v>
      </c>
      <c r="T99" s="349"/>
      <c r="U99" s="220"/>
      <c r="V99" s="8"/>
      <c r="W99" s="8" t="s">
        <v>54</v>
      </c>
      <c r="X99" s="8"/>
      <c r="Y99" s="8"/>
    </row>
    <row r="100" spans="1:25" ht="84" outlineLevel="2">
      <c r="A100" s="221"/>
      <c r="B100" s="221">
        <v>4</v>
      </c>
      <c r="C100" s="222">
        <v>5.2</v>
      </c>
      <c r="D100" s="222" t="s">
        <v>758</v>
      </c>
      <c r="E100" s="222"/>
      <c r="F100" s="221" t="s">
        <v>265</v>
      </c>
      <c r="G100" s="225">
        <v>0</v>
      </c>
      <c r="H100" s="225">
        <f t="shared" si="41"/>
        <v>0</v>
      </c>
      <c r="I100" s="225">
        <f t="shared" si="42"/>
        <v>0</v>
      </c>
      <c r="J100" s="197"/>
      <c r="K100" s="224">
        <f t="shared" si="43"/>
        <v>50.965025762135902</v>
      </c>
      <c r="L100" s="224">
        <f t="shared" si="44"/>
        <v>4.2081213932038812</v>
      </c>
      <c r="M100" s="224">
        <f t="shared" si="45"/>
        <v>46.75690436893202</v>
      </c>
      <c r="N100" s="282">
        <v>14</v>
      </c>
      <c r="O100" s="282">
        <f>0.0408*调差材料基价表!E12</f>
        <v>16.240776699029109</v>
      </c>
      <c r="P100" s="282">
        <f>(1/0.2)*2*0.261*一级钢综合/1000+3</f>
        <v>12.265500000000001</v>
      </c>
      <c r="Q100" s="282">
        <v>0</v>
      </c>
      <c r="R100" s="226">
        <v>0.1</v>
      </c>
      <c r="S100" s="227">
        <f t="shared" si="46"/>
        <v>4.2506276699029106</v>
      </c>
      <c r="T100" s="349"/>
      <c r="U100" s="220"/>
      <c r="V100" s="8"/>
      <c r="W100" s="8"/>
      <c r="X100" s="8"/>
      <c r="Y100" s="8"/>
    </row>
    <row r="101" spans="1:25" ht="63" outlineLevel="1">
      <c r="A101" s="221">
        <v>3</v>
      </c>
      <c r="B101" s="221">
        <v>2</v>
      </c>
      <c r="C101" s="222" t="s">
        <v>759</v>
      </c>
      <c r="D101" s="222" t="s">
        <v>263</v>
      </c>
      <c r="E101" s="276" t="s">
        <v>744</v>
      </c>
      <c r="F101" s="221" t="s">
        <v>265</v>
      </c>
      <c r="G101" s="225">
        <v>0</v>
      </c>
      <c r="H101" s="225">
        <f t="shared" si="41"/>
        <v>0</v>
      </c>
      <c r="I101" s="225">
        <f t="shared" si="42"/>
        <v>0</v>
      </c>
      <c r="J101" s="197"/>
      <c r="K101" s="224">
        <f t="shared" si="43"/>
        <v>0</v>
      </c>
      <c r="L101" s="224">
        <f t="shared" si="44"/>
        <v>0</v>
      </c>
      <c r="M101" s="224">
        <f t="shared" si="45"/>
        <v>0</v>
      </c>
      <c r="N101" s="305"/>
      <c r="O101" s="305"/>
      <c r="P101" s="305"/>
      <c r="Q101" s="305"/>
      <c r="R101" s="226">
        <v>0.1</v>
      </c>
      <c r="S101" s="227">
        <f t="shared" si="46"/>
        <v>0</v>
      </c>
      <c r="T101" s="222"/>
      <c r="U101" s="220"/>
      <c r="V101" s="8"/>
      <c r="W101" s="8"/>
      <c r="X101" s="8"/>
      <c r="Y101" s="8"/>
    </row>
    <row r="102" spans="1:25" ht="52.5" outlineLevel="2">
      <c r="A102" s="221"/>
      <c r="B102" s="221">
        <v>3</v>
      </c>
      <c r="C102" s="222" t="s">
        <v>266</v>
      </c>
      <c r="D102" s="222" t="s">
        <v>760</v>
      </c>
      <c r="E102" s="222"/>
      <c r="F102" s="221" t="s">
        <v>265</v>
      </c>
      <c r="G102" s="225">
        <v>0</v>
      </c>
      <c r="H102" s="225">
        <f t="shared" si="41"/>
        <v>0</v>
      </c>
      <c r="I102" s="225">
        <f t="shared" si="42"/>
        <v>0</v>
      </c>
      <c r="J102" s="197"/>
      <c r="K102" s="224">
        <f t="shared" si="43"/>
        <v>11.152098833333334</v>
      </c>
      <c r="L102" s="224">
        <f t="shared" si="44"/>
        <v>0.92081550000000001</v>
      </c>
      <c r="M102" s="224">
        <f t="shared" si="45"/>
        <v>10.231283333333334</v>
      </c>
      <c r="N102" s="282">
        <v>2</v>
      </c>
      <c r="O102" s="282">
        <f>(1/0.6)*2*0.617*调差材料基价表!E4/1000</f>
        <v>7.301166666666667</v>
      </c>
      <c r="P102" s="282"/>
      <c r="Q102" s="282">
        <v>0</v>
      </c>
      <c r="R102" s="226">
        <v>0.1</v>
      </c>
      <c r="S102" s="227">
        <f t="shared" si="46"/>
        <v>0.9301166666666667</v>
      </c>
      <c r="T102" s="349"/>
      <c r="U102" s="220"/>
      <c r="V102" s="8"/>
      <c r="W102" s="8"/>
      <c r="X102" s="8"/>
      <c r="Y102" s="8"/>
    </row>
    <row r="103" spans="1:25" ht="31.5" outlineLevel="2">
      <c r="A103" s="221"/>
      <c r="B103" s="221">
        <v>3</v>
      </c>
      <c r="C103" s="222" t="s">
        <v>269</v>
      </c>
      <c r="D103" s="222" t="s">
        <v>761</v>
      </c>
      <c r="E103" s="222"/>
      <c r="F103" s="221" t="s">
        <v>265</v>
      </c>
      <c r="G103" s="225">
        <v>0</v>
      </c>
      <c r="H103" s="225">
        <f t="shared" si="41"/>
        <v>0</v>
      </c>
      <c r="I103" s="225">
        <f t="shared" si="42"/>
        <v>0</v>
      </c>
      <c r="J103" s="197"/>
      <c r="K103" s="224">
        <f t="shared" si="43"/>
        <v>0</v>
      </c>
      <c r="L103" s="224">
        <f t="shared" si="44"/>
        <v>0</v>
      </c>
      <c r="M103" s="224">
        <f t="shared" si="45"/>
        <v>0</v>
      </c>
      <c r="N103" s="282"/>
      <c r="O103" s="282"/>
      <c r="P103" s="282"/>
      <c r="Q103" s="282"/>
      <c r="R103" s="226">
        <v>0.1</v>
      </c>
      <c r="S103" s="227">
        <f t="shared" si="46"/>
        <v>0</v>
      </c>
      <c r="T103" s="349"/>
      <c r="U103" s="220"/>
      <c r="V103" s="8"/>
      <c r="W103" s="8"/>
      <c r="X103" s="8"/>
      <c r="Y103" s="8"/>
    </row>
    <row r="104" spans="1:25" ht="52.5" outlineLevel="2">
      <c r="A104" s="221"/>
      <c r="B104" s="221">
        <v>4</v>
      </c>
      <c r="C104" s="222">
        <v>2.1</v>
      </c>
      <c r="D104" s="222" t="s">
        <v>313</v>
      </c>
      <c r="E104" s="222"/>
      <c r="F104" s="221" t="s">
        <v>265</v>
      </c>
      <c r="G104" s="225">
        <v>0</v>
      </c>
      <c r="H104" s="225">
        <f t="shared" si="41"/>
        <v>0</v>
      </c>
      <c r="I104" s="225">
        <f t="shared" si="42"/>
        <v>0</v>
      </c>
      <c r="J104" s="197"/>
      <c r="K104" s="224">
        <f t="shared" si="43"/>
        <v>22.252293894525238</v>
      </c>
      <c r="L104" s="224">
        <f t="shared" si="44"/>
        <v>1.8373453674378637</v>
      </c>
      <c r="M104" s="224">
        <f t="shared" si="45"/>
        <v>20.414948527087375</v>
      </c>
      <c r="N104" s="282">
        <v>12</v>
      </c>
      <c r="O104" s="282">
        <f>7.7451*调差材料基价表!E63/1000+调差材料基价表!E64*0.0203+0.2</f>
        <v>6.5590441155339798</v>
      </c>
      <c r="P104" s="282"/>
      <c r="Q104" s="282">
        <v>0</v>
      </c>
      <c r="R104" s="226">
        <v>0.1</v>
      </c>
      <c r="S104" s="227">
        <f t="shared" si="46"/>
        <v>1.855904411553398</v>
      </c>
      <c r="T104" s="222" t="s">
        <v>514</v>
      </c>
      <c r="U104" s="220"/>
      <c r="V104" s="8"/>
      <c r="W104" s="8"/>
      <c r="X104" s="8"/>
      <c r="Y104" s="8"/>
    </row>
    <row r="105" spans="1:25" ht="21" outlineLevel="2">
      <c r="A105" s="221"/>
      <c r="B105" s="221">
        <v>4</v>
      </c>
      <c r="C105" s="222">
        <v>2.2000000000000002</v>
      </c>
      <c r="D105" s="222" t="s">
        <v>762</v>
      </c>
      <c r="E105" s="222"/>
      <c r="F105" s="221" t="s">
        <v>265</v>
      </c>
      <c r="G105" s="225">
        <v>0</v>
      </c>
      <c r="H105" s="225">
        <f t="shared" si="41"/>
        <v>0</v>
      </c>
      <c r="I105" s="225">
        <f t="shared" si="42"/>
        <v>0</v>
      </c>
      <c r="J105" s="197"/>
      <c r="K105" s="224">
        <f t="shared" si="43"/>
        <v>0</v>
      </c>
      <c r="L105" s="224">
        <f t="shared" si="44"/>
        <v>0</v>
      </c>
      <c r="M105" s="224">
        <f t="shared" si="45"/>
        <v>0</v>
      </c>
      <c r="N105" s="282"/>
      <c r="O105" s="282"/>
      <c r="P105" s="282"/>
      <c r="Q105" s="282"/>
      <c r="R105" s="226">
        <v>0.1</v>
      </c>
      <c r="S105" s="227">
        <f t="shared" si="46"/>
        <v>0</v>
      </c>
      <c r="T105" s="349"/>
      <c r="U105" s="220"/>
      <c r="V105" s="8"/>
      <c r="W105" s="8"/>
      <c r="X105" s="8"/>
      <c r="Y105" s="8"/>
    </row>
    <row r="106" spans="1:25" ht="52.5" outlineLevel="2">
      <c r="A106" s="221"/>
      <c r="B106" s="221">
        <v>4</v>
      </c>
      <c r="C106" s="222">
        <v>2.2999999999999998</v>
      </c>
      <c r="D106" s="222" t="s">
        <v>2101</v>
      </c>
      <c r="E106" s="222"/>
      <c r="F106" s="221" t="s">
        <v>265</v>
      </c>
      <c r="G106" s="225">
        <v>0</v>
      </c>
      <c r="H106" s="225">
        <f t="shared" si="41"/>
        <v>0</v>
      </c>
      <c r="I106" s="225">
        <f t="shared" si="42"/>
        <v>0</v>
      </c>
      <c r="J106" s="197"/>
      <c r="K106" s="224">
        <f t="shared" si="43"/>
        <v>18.655293894525244</v>
      </c>
      <c r="L106" s="224">
        <f t="shared" si="44"/>
        <v>1.540345367437864</v>
      </c>
      <c r="M106" s="224">
        <f t="shared" si="45"/>
        <v>17.114948527087378</v>
      </c>
      <c r="N106" s="282">
        <v>12</v>
      </c>
      <c r="O106" s="282">
        <f>7.7451*调差材料基价表!E63/1000+调差材料基价表!E64*0.0203+0.2-3</f>
        <v>3.5590441155339798</v>
      </c>
      <c r="P106" s="282"/>
      <c r="Q106" s="282">
        <v>0</v>
      </c>
      <c r="R106" s="226">
        <v>0.1</v>
      </c>
      <c r="S106" s="227">
        <f t="shared" si="46"/>
        <v>1.555904411553398</v>
      </c>
      <c r="T106" s="222" t="s">
        <v>763</v>
      </c>
      <c r="U106" s="220"/>
      <c r="V106" s="8"/>
      <c r="W106" s="8"/>
      <c r="X106" s="8"/>
      <c r="Y106" s="8"/>
    </row>
    <row r="107" spans="1:25" ht="52.5" outlineLevel="2">
      <c r="A107" s="221"/>
      <c r="B107" s="221">
        <v>3</v>
      </c>
      <c r="C107" s="222" t="s">
        <v>275</v>
      </c>
      <c r="D107" s="222" t="s">
        <v>764</v>
      </c>
      <c r="E107" s="222"/>
      <c r="F107" s="221" t="s">
        <v>265</v>
      </c>
      <c r="G107" s="225">
        <v>0</v>
      </c>
      <c r="H107" s="225">
        <f t="shared" si="41"/>
        <v>0</v>
      </c>
      <c r="I107" s="225">
        <f t="shared" si="42"/>
        <v>0</v>
      </c>
      <c r="J107" s="197"/>
      <c r="K107" s="224">
        <f t="shared" si="43"/>
        <v>17.3855</v>
      </c>
      <c r="L107" s="224">
        <f t="shared" si="44"/>
        <v>1.4354999999999998</v>
      </c>
      <c r="M107" s="224">
        <f t="shared" si="45"/>
        <v>15.95</v>
      </c>
      <c r="N107" s="282">
        <v>8.5</v>
      </c>
      <c r="O107" s="282">
        <v>5</v>
      </c>
      <c r="P107" s="282">
        <v>1</v>
      </c>
      <c r="Q107" s="356"/>
      <c r="R107" s="226">
        <v>0.1</v>
      </c>
      <c r="S107" s="227">
        <f t="shared" si="46"/>
        <v>1.4500000000000002</v>
      </c>
      <c r="T107" s="349"/>
      <c r="U107" s="220"/>
      <c r="V107" s="8"/>
      <c r="W107" s="8"/>
      <c r="X107" s="8"/>
      <c r="Y107" s="8"/>
    </row>
    <row r="108" spans="1:25" ht="42" outlineLevel="2">
      <c r="A108" s="221"/>
      <c r="B108" s="221">
        <v>3</v>
      </c>
      <c r="C108" s="222" t="s">
        <v>278</v>
      </c>
      <c r="D108" s="222" t="s">
        <v>765</v>
      </c>
      <c r="E108" s="222"/>
      <c r="F108" s="221" t="s">
        <v>265</v>
      </c>
      <c r="G108" s="225">
        <v>0</v>
      </c>
      <c r="H108" s="225">
        <f t="shared" si="41"/>
        <v>0</v>
      </c>
      <c r="I108" s="225">
        <f t="shared" si="42"/>
        <v>0</v>
      </c>
      <c r="J108" s="197"/>
      <c r="K108" s="224">
        <f t="shared" si="43"/>
        <v>22.675488000000001</v>
      </c>
      <c r="L108" s="224">
        <f t="shared" si="44"/>
        <v>1.872288</v>
      </c>
      <c r="M108" s="224">
        <f t="shared" si="45"/>
        <v>20.8032</v>
      </c>
      <c r="N108" s="221">
        <v>3</v>
      </c>
      <c r="O108" s="221">
        <v>15.912000000000001</v>
      </c>
      <c r="P108" s="282"/>
      <c r="Q108" s="282"/>
      <c r="R108" s="226">
        <v>0.1</v>
      </c>
      <c r="S108" s="227">
        <f t="shared" si="46"/>
        <v>1.8912</v>
      </c>
      <c r="T108" s="349"/>
      <c r="U108" s="220"/>
      <c r="V108" s="8"/>
      <c r="W108" s="8"/>
      <c r="X108" s="8"/>
      <c r="Y108" s="8"/>
    </row>
    <row r="109" spans="1:25" ht="84" outlineLevel="2">
      <c r="A109" s="221"/>
      <c r="B109" s="221">
        <v>3</v>
      </c>
      <c r="C109" s="222" t="s">
        <v>308</v>
      </c>
      <c r="D109" s="222" t="s">
        <v>766</v>
      </c>
      <c r="E109" s="222"/>
      <c r="F109" s="221" t="s">
        <v>265</v>
      </c>
      <c r="G109" s="225">
        <v>0</v>
      </c>
      <c r="H109" s="225">
        <f t="shared" si="41"/>
        <v>0</v>
      </c>
      <c r="I109" s="225">
        <f t="shared" si="42"/>
        <v>0</v>
      </c>
      <c r="J109" s="197"/>
      <c r="K109" s="224">
        <f t="shared" si="43"/>
        <v>43.920301262135901</v>
      </c>
      <c r="L109" s="224">
        <f t="shared" si="44"/>
        <v>3.6264468932038816</v>
      </c>
      <c r="M109" s="224">
        <f t="shared" si="45"/>
        <v>40.293854368932017</v>
      </c>
      <c r="N109" s="282">
        <v>14</v>
      </c>
      <c r="O109" s="282">
        <f>0.0408*调差材料基价表!E12</f>
        <v>16.240776699029109</v>
      </c>
      <c r="P109" s="282">
        <f>(1/0.2)*2*0.18*一级钢综合/1000</f>
        <v>6.3899999999999988</v>
      </c>
      <c r="Q109" s="282">
        <v>0</v>
      </c>
      <c r="R109" s="226">
        <v>0.1</v>
      </c>
      <c r="S109" s="227">
        <f t="shared" si="46"/>
        <v>3.6630776699029108</v>
      </c>
      <c r="T109" s="349" t="s">
        <v>281</v>
      </c>
      <c r="U109" s="220"/>
      <c r="V109" s="8"/>
      <c r="W109" s="8"/>
      <c r="X109" s="8"/>
      <c r="Y109" s="8"/>
    </row>
    <row r="110" spans="1:25" ht="21" outlineLevel="2">
      <c r="A110" s="221"/>
      <c r="B110" s="221">
        <v>3</v>
      </c>
      <c r="C110" s="222" t="s">
        <v>457</v>
      </c>
      <c r="D110" s="222" t="s">
        <v>767</v>
      </c>
      <c r="E110" s="222"/>
      <c r="F110" s="221" t="s">
        <v>265</v>
      </c>
      <c r="G110" s="225">
        <v>0</v>
      </c>
      <c r="H110" s="225">
        <f t="shared" si="41"/>
        <v>0</v>
      </c>
      <c r="I110" s="225">
        <f t="shared" si="42"/>
        <v>0</v>
      </c>
      <c r="J110" s="197"/>
      <c r="K110" s="224">
        <f t="shared" si="43"/>
        <v>131.88999999999999</v>
      </c>
      <c r="L110" s="224">
        <f t="shared" si="44"/>
        <v>10.889999999999999</v>
      </c>
      <c r="M110" s="224">
        <f t="shared" si="45"/>
        <v>121</v>
      </c>
      <c r="N110" s="282">
        <v>35</v>
      </c>
      <c r="O110" s="282">
        <v>60</v>
      </c>
      <c r="P110" s="282">
        <v>15</v>
      </c>
      <c r="Q110" s="282">
        <v>0</v>
      </c>
      <c r="R110" s="226">
        <v>0.1</v>
      </c>
      <c r="S110" s="227">
        <f t="shared" si="46"/>
        <v>11</v>
      </c>
      <c r="T110" s="349"/>
      <c r="U110" s="220"/>
      <c r="V110" s="8"/>
      <c r="W110" s="8"/>
      <c r="X110" s="8"/>
      <c r="Y110" s="8"/>
    </row>
    <row r="111" spans="1:25" ht="21" outlineLevel="2">
      <c r="A111" s="221"/>
      <c r="B111" s="221">
        <v>3</v>
      </c>
      <c r="C111" s="222" t="s">
        <v>768</v>
      </c>
      <c r="D111" s="222" t="s">
        <v>769</v>
      </c>
      <c r="E111" s="222"/>
      <c r="F111" s="221" t="s">
        <v>265</v>
      </c>
      <c r="G111" s="225">
        <v>0</v>
      </c>
      <c r="H111" s="225">
        <f t="shared" si="41"/>
        <v>0</v>
      </c>
      <c r="I111" s="225">
        <f t="shared" si="42"/>
        <v>0</v>
      </c>
      <c r="J111" s="197"/>
      <c r="K111" s="224">
        <f t="shared" si="43"/>
        <v>3.179748</v>
      </c>
      <c r="L111" s="224">
        <f t="shared" si="44"/>
        <v>0.262548</v>
      </c>
      <c r="M111" s="224">
        <f t="shared" si="45"/>
        <v>2.9172000000000002</v>
      </c>
      <c r="N111" s="282"/>
      <c r="O111" s="221">
        <v>2.6520000000000001</v>
      </c>
      <c r="P111" s="282"/>
      <c r="Q111" s="282"/>
      <c r="R111" s="226">
        <v>0.1</v>
      </c>
      <c r="S111" s="227">
        <f t="shared" si="46"/>
        <v>0.26520000000000005</v>
      </c>
      <c r="T111" s="349"/>
      <c r="U111" s="220"/>
      <c r="V111" s="8"/>
      <c r="W111" s="8"/>
      <c r="X111" s="8"/>
      <c r="Y111" s="8"/>
    </row>
    <row r="112" spans="1:25" ht="63" outlineLevel="1">
      <c r="A112" s="221">
        <v>4</v>
      </c>
      <c r="B112" s="221">
        <v>2</v>
      </c>
      <c r="C112" s="222" t="s">
        <v>770</v>
      </c>
      <c r="D112" s="222" t="s">
        <v>263</v>
      </c>
      <c r="E112" s="276" t="s">
        <v>744</v>
      </c>
      <c r="F112" s="221" t="s">
        <v>265</v>
      </c>
      <c r="G112" s="225">
        <v>0</v>
      </c>
      <c r="H112" s="225">
        <f t="shared" si="41"/>
        <v>0</v>
      </c>
      <c r="I112" s="225">
        <f t="shared" si="42"/>
        <v>0</v>
      </c>
      <c r="J112" s="197"/>
      <c r="K112" s="224">
        <f t="shared" si="43"/>
        <v>0</v>
      </c>
      <c r="L112" s="224">
        <f t="shared" si="44"/>
        <v>0</v>
      </c>
      <c r="M112" s="224">
        <f t="shared" si="45"/>
        <v>0</v>
      </c>
      <c r="N112" s="305"/>
      <c r="O112" s="305"/>
      <c r="P112" s="305"/>
      <c r="Q112" s="305"/>
      <c r="R112" s="226">
        <v>0.1</v>
      </c>
      <c r="S112" s="227">
        <f t="shared" si="46"/>
        <v>0</v>
      </c>
      <c r="T112" s="222"/>
      <c r="U112" s="220"/>
      <c r="V112" s="8"/>
      <c r="W112" s="8"/>
      <c r="X112" s="8"/>
      <c r="Y112" s="8"/>
    </row>
    <row r="113" spans="1:25" ht="52.5" outlineLevel="2">
      <c r="A113" s="221"/>
      <c r="B113" s="221">
        <v>3</v>
      </c>
      <c r="C113" s="222" t="s">
        <v>266</v>
      </c>
      <c r="D113" s="222" t="s">
        <v>760</v>
      </c>
      <c r="E113" s="222"/>
      <c r="F113" s="221" t="s">
        <v>265</v>
      </c>
      <c r="G113" s="225">
        <v>0</v>
      </c>
      <c r="H113" s="225">
        <f t="shared" si="41"/>
        <v>0</v>
      </c>
      <c r="I113" s="225">
        <f t="shared" si="42"/>
        <v>0</v>
      </c>
      <c r="J113" s="197"/>
      <c r="K113" s="224">
        <f t="shared" si="43"/>
        <v>11.152098833333334</v>
      </c>
      <c r="L113" s="224">
        <f t="shared" si="44"/>
        <v>0.92081550000000001</v>
      </c>
      <c r="M113" s="224">
        <f t="shared" si="45"/>
        <v>10.231283333333334</v>
      </c>
      <c r="N113" s="282">
        <v>2</v>
      </c>
      <c r="O113" s="282">
        <f>(1/0.6)*2*0.617*调差材料基价表!E4/1000</f>
        <v>7.301166666666667</v>
      </c>
      <c r="P113" s="282"/>
      <c r="Q113" s="282">
        <v>0</v>
      </c>
      <c r="R113" s="226">
        <v>0.1</v>
      </c>
      <c r="S113" s="227">
        <f t="shared" si="46"/>
        <v>0.9301166666666667</v>
      </c>
      <c r="T113" s="349"/>
      <c r="U113" s="220"/>
      <c r="V113" s="8"/>
      <c r="W113" s="8"/>
      <c r="X113" s="8"/>
      <c r="Y113" s="8"/>
    </row>
    <row r="114" spans="1:25" ht="31.5" outlineLevel="2">
      <c r="A114" s="221"/>
      <c r="B114" s="221">
        <v>3</v>
      </c>
      <c r="C114" s="222" t="s">
        <v>269</v>
      </c>
      <c r="D114" s="222" t="s">
        <v>761</v>
      </c>
      <c r="E114" s="222"/>
      <c r="F114" s="221" t="s">
        <v>265</v>
      </c>
      <c r="G114" s="225">
        <v>0</v>
      </c>
      <c r="H114" s="225">
        <f t="shared" si="41"/>
        <v>0</v>
      </c>
      <c r="I114" s="225">
        <f t="shared" si="42"/>
        <v>0</v>
      </c>
      <c r="J114" s="197"/>
      <c r="K114" s="224">
        <f t="shared" si="43"/>
        <v>0</v>
      </c>
      <c r="L114" s="224">
        <f t="shared" si="44"/>
        <v>0</v>
      </c>
      <c r="M114" s="224">
        <f t="shared" si="45"/>
        <v>0</v>
      </c>
      <c r="N114" s="282"/>
      <c r="O114" s="282"/>
      <c r="P114" s="282"/>
      <c r="Q114" s="282"/>
      <c r="R114" s="226">
        <v>0.1</v>
      </c>
      <c r="S114" s="227">
        <f t="shared" si="46"/>
        <v>0</v>
      </c>
      <c r="T114" s="349"/>
      <c r="U114" s="220"/>
      <c r="V114" s="8"/>
      <c r="W114" s="8"/>
      <c r="X114" s="8"/>
      <c r="Y114" s="8"/>
    </row>
    <row r="115" spans="1:25" ht="52.5" outlineLevel="2">
      <c r="A115" s="221"/>
      <c r="B115" s="221">
        <v>4</v>
      </c>
      <c r="C115" s="222">
        <v>2.1</v>
      </c>
      <c r="D115" s="222" t="s">
        <v>313</v>
      </c>
      <c r="E115" s="222"/>
      <c r="F115" s="221" t="s">
        <v>265</v>
      </c>
      <c r="G115" s="225">
        <v>0</v>
      </c>
      <c r="H115" s="225">
        <f t="shared" si="41"/>
        <v>0</v>
      </c>
      <c r="I115" s="225">
        <f t="shared" si="42"/>
        <v>0</v>
      </c>
      <c r="J115" s="197"/>
      <c r="K115" s="224">
        <f t="shared" si="43"/>
        <v>22.252293894525238</v>
      </c>
      <c r="L115" s="224">
        <f t="shared" si="44"/>
        <v>1.8373453674378637</v>
      </c>
      <c r="M115" s="224">
        <f t="shared" si="45"/>
        <v>20.414948527087375</v>
      </c>
      <c r="N115" s="282">
        <v>12</v>
      </c>
      <c r="O115" s="282">
        <f>7.7451*调差材料基价表!E63/1000+调差材料基价表!E64*0.0203+0.2</f>
        <v>6.5590441155339798</v>
      </c>
      <c r="P115" s="282"/>
      <c r="Q115" s="282">
        <v>0</v>
      </c>
      <c r="R115" s="226">
        <v>0.1</v>
      </c>
      <c r="S115" s="227">
        <f t="shared" si="46"/>
        <v>1.855904411553398</v>
      </c>
      <c r="T115" s="222" t="s">
        <v>514</v>
      </c>
      <c r="U115" s="220"/>
      <c r="V115" s="8"/>
      <c r="W115" s="8"/>
      <c r="X115" s="8"/>
      <c r="Y115" s="8"/>
    </row>
    <row r="116" spans="1:25" ht="52.5" outlineLevel="2">
      <c r="A116" s="221"/>
      <c r="B116" s="221">
        <v>4</v>
      </c>
      <c r="C116" s="222">
        <v>2.2000000000000002</v>
      </c>
      <c r="D116" s="222" t="s">
        <v>2101</v>
      </c>
      <c r="E116" s="222"/>
      <c r="F116" s="221" t="s">
        <v>265</v>
      </c>
      <c r="G116" s="225">
        <v>0</v>
      </c>
      <c r="H116" s="225">
        <f t="shared" si="41"/>
        <v>0</v>
      </c>
      <c r="I116" s="225">
        <f t="shared" si="42"/>
        <v>0</v>
      </c>
      <c r="J116" s="197"/>
      <c r="K116" s="224">
        <f t="shared" si="43"/>
        <v>18.655293894525244</v>
      </c>
      <c r="L116" s="224">
        <f t="shared" si="44"/>
        <v>1.540345367437864</v>
      </c>
      <c r="M116" s="224">
        <f t="shared" si="45"/>
        <v>17.114948527087378</v>
      </c>
      <c r="N116" s="282">
        <v>12</v>
      </c>
      <c r="O116" s="282">
        <f>7.7451*调差材料基价表!E63/1000+调差材料基价表!E64*0.0203+0.2-3</f>
        <v>3.5590441155339798</v>
      </c>
      <c r="P116" s="356"/>
      <c r="Q116" s="356"/>
      <c r="R116" s="226">
        <v>0.1</v>
      </c>
      <c r="S116" s="227">
        <f t="shared" si="46"/>
        <v>1.555904411553398</v>
      </c>
      <c r="T116" s="222" t="s">
        <v>771</v>
      </c>
      <c r="U116" s="220"/>
      <c r="V116" s="8"/>
      <c r="W116" s="8"/>
      <c r="X116" s="8"/>
      <c r="Y116" s="8"/>
    </row>
    <row r="117" spans="1:25" ht="52.5" outlineLevel="2">
      <c r="A117" s="221"/>
      <c r="B117" s="221">
        <v>3</v>
      </c>
      <c r="C117" s="222" t="s">
        <v>275</v>
      </c>
      <c r="D117" s="222" t="s">
        <v>764</v>
      </c>
      <c r="E117" s="222"/>
      <c r="F117" s="221" t="s">
        <v>265</v>
      </c>
      <c r="G117" s="225">
        <v>0</v>
      </c>
      <c r="H117" s="225">
        <f t="shared" si="41"/>
        <v>0</v>
      </c>
      <c r="I117" s="225">
        <f t="shared" si="42"/>
        <v>0</v>
      </c>
      <c r="J117" s="197"/>
      <c r="K117" s="224">
        <f t="shared" si="43"/>
        <v>17.3855</v>
      </c>
      <c r="L117" s="224">
        <f t="shared" si="44"/>
        <v>1.4354999999999998</v>
      </c>
      <c r="M117" s="224">
        <f t="shared" si="45"/>
        <v>15.95</v>
      </c>
      <c r="N117" s="282">
        <f>N107</f>
        <v>8.5</v>
      </c>
      <c r="O117" s="282">
        <v>5</v>
      </c>
      <c r="P117" s="282">
        <v>1</v>
      </c>
      <c r="Q117" s="356"/>
      <c r="R117" s="226">
        <v>0.1</v>
      </c>
      <c r="S117" s="227">
        <f t="shared" si="46"/>
        <v>1.4500000000000002</v>
      </c>
      <c r="T117" s="349"/>
      <c r="U117" s="220"/>
      <c r="V117" s="8"/>
      <c r="W117" s="8"/>
      <c r="X117" s="8"/>
      <c r="Y117" s="8"/>
    </row>
    <row r="118" spans="1:25" ht="21" outlineLevel="2">
      <c r="A118" s="221"/>
      <c r="B118" s="221">
        <v>3</v>
      </c>
      <c r="C118" s="222" t="s">
        <v>278</v>
      </c>
      <c r="D118" s="222" t="s">
        <v>772</v>
      </c>
      <c r="E118" s="222"/>
      <c r="F118" s="221" t="s">
        <v>265</v>
      </c>
      <c r="G118" s="225">
        <v>0</v>
      </c>
      <c r="H118" s="225">
        <f t="shared" si="41"/>
        <v>0</v>
      </c>
      <c r="I118" s="225">
        <f t="shared" si="42"/>
        <v>0</v>
      </c>
      <c r="J118" s="197"/>
      <c r="K118" s="224">
        <f t="shared" si="43"/>
        <v>16.786000000000001</v>
      </c>
      <c r="L118" s="224">
        <f t="shared" si="44"/>
        <v>1.3859999999999999</v>
      </c>
      <c r="M118" s="224">
        <f t="shared" si="45"/>
        <v>15.4</v>
      </c>
      <c r="N118" s="282">
        <v>8</v>
      </c>
      <c r="O118" s="282">
        <v>6</v>
      </c>
      <c r="P118" s="282"/>
      <c r="Q118" s="282">
        <v>0</v>
      </c>
      <c r="R118" s="226">
        <v>0.1</v>
      </c>
      <c r="S118" s="227">
        <f t="shared" si="46"/>
        <v>1.4000000000000001</v>
      </c>
      <c r="T118" s="349"/>
      <c r="U118" s="220"/>
      <c r="V118" s="8"/>
      <c r="W118" s="8"/>
      <c r="X118" s="8"/>
      <c r="Y118" s="8"/>
    </row>
    <row r="119" spans="1:25" ht="84" outlineLevel="2">
      <c r="A119" s="221"/>
      <c r="B119" s="221">
        <v>3</v>
      </c>
      <c r="C119" s="222" t="s">
        <v>308</v>
      </c>
      <c r="D119" s="222" t="s">
        <v>766</v>
      </c>
      <c r="E119" s="222"/>
      <c r="F119" s="221" t="s">
        <v>265</v>
      </c>
      <c r="G119" s="225">
        <v>0</v>
      </c>
      <c r="H119" s="225">
        <f t="shared" si="41"/>
        <v>0</v>
      </c>
      <c r="I119" s="225">
        <f t="shared" si="42"/>
        <v>0</v>
      </c>
      <c r="J119" s="197"/>
      <c r="K119" s="224">
        <f t="shared" si="43"/>
        <v>43.920301262135901</v>
      </c>
      <c r="L119" s="224">
        <f t="shared" si="44"/>
        <v>3.6264468932038816</v>
      </c>
      <c r="M119" s="224">
        <f t="shared" si="45"/>
        <v>40.293854368932017</v>
      </c>
      <c r="N119" s="282">
        <v>14</v>
      </c>
      <c r="O119" s="282">
        <f>0.0408*调差材料基价表!E12</f>
        <v>16.240776699029109</v>
      </c>
      <c r="P119" s="282">
        <f>(1/0.2)*2*0.18*一级钢综合/1000</f>
        <v>6.3899999999999988</v>
      </c>
      <c r="Q119" s="282">
        <v>0</v>
      </c>
      <c r="R119" s="226">
        <v>0.1</v>
      </c>
      <c r="S119" s="227">
        <f t="shared" si="46"/>
        <v>3.6630776699029108</v>
      </c>
      <c r="T119" s="349" t="s">
        <v>281</v>
      </c>
      <c r="U119" s="220"/>
      <c r="V119" s="8"/>
      <c r="W119" s="8"/>
      <c r="X119" s="8"/>
      <c r="Y119" s="8"/>
    </row>
    <row r="120" spans="1:25" ht="21" outlineLevel="2">
      <c r="A120" s="221"/>
      <c r="B120" s="221">
        <v>3</v>
      </c>
      <c r="C120" s="222" t="s">
        <v>457</v>
      </c>
      <c r="D120" s="222" t="s">
        <v>767</v>
      </c>
      <c r="E120" s="222"/>
      <c r="F120" s="221" t="s">
        <v>265</v>
      </c>
      <c r="G120" s="225">
        <v>0</v>
      </c>
      <c r="H120" s="225">
        <f t="shared" si="41"/>
        <v>0</v>
      </c>
      <c r="I120" s="225">
        <f t="shared" si="42"/>
        <v>0</v>
      </c>
      <c r="J120" s="197"/>
      <c r="K120" s="224">
        <f t="shared" si="43"/>
        <v>131.88999999999999</v>
      </c>
      <c r="L120" s="224">
        <f t="shared" si="44"/>
        <v>10.889999999999999</v>
      </c>
      <c r="M120" s="224">
        <f t="shared" si="45"/>
        <v>121</v>
      </c>
      <c r="N120" s="282">
        <v>35</v>
      </c>
      <c r="O120" s="282">
        <v>60</v>
      </c>
      <c r="P120" s="282">
        <v>15</v>
      </c>
      <c r="Q120" s="282">
        <v>0</v>
      </c>
      <c r="R120" s="226">
        <v>0.1</v>
      </c>
      <c r="S120" s="227">
        <f t="shared" si="46"/>
        <v>11</v>
      </c>
      <c r="T120" s="349"/>
      <c r="U120" s="220"/>
      <c r="V120" s="8"/>
      <c r="W120" s="8"/>
      <c r="X120" s="8"/>
      <c r="Y120" s="8"/>
    </row>
    <row r="121" spans="1:25" ht="31.5" outlineLevel="1">
      <c r="A121" s="221">
        <v>5</v>
      </c>
      <c r="B121" s="221">
        <v>2</v>
      </c>
      <c r="C121" s="222" t="s">
        <v>773</v>
      </c>
      <c r="D121" s="222" t="s">
        <v>263</v>
      </c>
      <c r="E121" s="276" t="s">
        <v>774</v>
      </c>
      <c r="F121" s="221" t="s">
        <v>265</v>
      </c>
      <c r="G121" s="225">
        <v>803.51544016768298</v>
      </c>
      <c r="H121" s="225">
        <f t="shared" si="41"/>
        <v>0</v>
      </c>
      <c r="I121" s="225">
        <f t="shared" si="42"/>
        <v>0</v>
      </c>
      <c r="J121" s="197"/>
      <c r="K121" s="224"/>
      <c r="L121" s="224"/>
      <c r="M121" s="224"/>
      <c r="N121" s="305"/>
      <c r="O121" s="305"/>
      <c r="P121" s="305"/>
      <c r="Q121" s="305"/>
      <c r="R121" s="226"/>
      <c r="S121" s="227"/>
      <c r="T121" s="222"/>
      <c r="U121" s="220"/>
      <c r="V121" s="8"/>
      <c r="W121" s="8"/>
      <c r="X121" s="8"/>
      <c r="Y121" s="8"/>
    </row>
    <row r="122" spans="1:25" ht="84" outlineLevel="2">
      <c r="A122" s="221"/>
      <c r="B122" s="221">
        <v>3</v>
      </c>
      <c r="C122" s="222" t="s">
        <v>266</v>
      </c>
      <c r="D122" s="222" t="s">
        <v>2043</v>
      </c>
      <c r="E122" s="222"/>
      <c r="F122" s="221" t="s">
        <v>265</v>
      </c>
      <c r="G122" s="225">
        <v>803.51544016768298</v>
      </c>
      <c r="H122" s="225">
        <f t="shared" si="41"/>
        <v>13969.517685035253</v>
      </c>
      <c r="I122" s="225">
        <f t="shared" si="42"/>
        <v>13969.517685035253</v>
      </c>
      <c r="J122" s="197"/>
      <c r="K122" s="224">
        <f t="shared" si="43"/>
        <v>17.3855</v>
      </c>
      <c r="L122" s="224">
        <f t="shared" si="44"/>
        <v>1.4354999999999998</v>
      </c>
      <c r="M122" s="224">
        <f t="shared" si="45"/>
        <v>15.95</v>
      </c>
      <c r="N122" s="282">
        <v>8.5</v>
      </c>
      <c r="O122" s="282">
        <v>5</v>
      </c>
      <c r="P122" s="282">
        <v>1</v>
      </c>
      <c r="Q122" s="356"/>
      <c r="R122" s="226">
        <v>0.1</v>
      </c>
      <c r="S122" s="227">
        <f t="shared" si="46"/>
        <v>1.4500000000000002</v>
      </c>
      <c r="T122" s="349"/>
      <c r="U122" s="220"/>
      <c r="V122" s="8"/>
      <c r="W122" s="8"/>
      <c r="X122" s="8"/>
      <c r="Y122" s="8"/>
    </row>
    <row r="123" spans="1:25" ht="84" outlineLevel="2">
      <c r="A123" s="221"/>
      <c r="B123" s="221">
        <v>3</v>
      </c>
      <c r="C123" s="222" t="s">
        <v>269</v>
      </c>
      <c r="D123" s="222" t="s">
        <v>2142</v>
      </c>
      <c r="E123" s="222"/>
      <c r="F123" s="221" t="s">
        <v>265</v>
      </c>
      <c r="G123" s="225">
        <v>803.51544016768298</v>
      </c>
      <c r="H123" s="225">
        <f t="shared" si="41"/>
        <v>0</v>
      </c>
      <c r="I123" s="225">
        <f t="shared" si="42"/>
        <v>0</v>
      </c>
      <c r="J123" s="197"/>
      <c r="K123" s="224"/>
      <c r="L123" s="224"/>
      <c r="M123" s="224"/>
      <c r="N123" s="282"/>
      <c r="O123" s="282"/>
      <c r="P123" s="282"/>
      <c r="Q123" s="282"/>
      <c r="R123" s="226"/>
      <c r="S123" s="227"/>
      <c r="T123" s="222"/>
      <c r="U123" s="220"/>
      <c r="V123" s="8"/>
      <c r="W123" s="8"/>
      <c r="X123" s="8"/>
      <c r="Y123" s="8"/>
    </row>
    <row r="124" spans="1:25" ht="52.5" outlineLevel="2">
      <c r="A124" s="221"/>
      <c r="B124" s="221">
        <v>4</v>
      </c>
      <c r="C124" s="222">
        <v>2.1</v>
      </c>
      <c r="D124" s="222" t="s">
        <v>775</v>
      </c>
      <c r="E124" s="222"/>
      <c r="F124" s="221" t="s">
        <v>265</v>
      </c>
      <c r="G124" s="225">
        <v>0</v>
      </c>
      <c r="H124" s="225">
        <f t="shared" si="41"/>
        <v>0</v>
      </c>
      <c r="I124" s="225">
        <f t="shared" si="42"/>
        <v>0</v>
      </c>
      <c r="J124" s="197"/>
      <c r="K124" s="224">
        <f t="shared" si="43"/>
        <v>24.370767604348639</v>
      </c>
      <c r="L124" s="224">
        <f t="shared" si="44"/>
        <v>2.012265215037961</v>
      </c>
      <c r="M124" s="224">
        <f t="shared" si="45"/>
        <v>22.358502389310679</v>
      </c>
      <c r="N124" s="282">
        <v>12</v>
      </c>
      <c r="O124" s="282">
        <f>9.67581*调差材料基价表!$E$63/1000+调差材料基价表!$E$64*0.0264+0.2</f>
        <v>8.3259112630097061</v>
      </c>
      <c r="P124" s="282"/>
      <c r="Q124" s="282">
        <v>0</v>
      </c>
      <c r="R124" s="226">
        <v>0.1</v>
      </c>
      <c r="S124" s="227">
        <f t="shared" si="46"/>
        <v>2.0325911263009711</v>
      </c>
      <c r="T124" s="222" t="s">
        <v>302</v>
      </c>
      <c r="U124" s="220"/>
      <c r="V124" s="8"/>
      <c r="W124" s="8"/>
      <c r="X124" s="8"/>
      <c r="Y124" s="8"/>
    </row>
    <row r="125" spans="1:25" ht="42" outlineLevel="2">
      <c r="A125" s="221"/>
      <c r="B125" s="221">
        <v>4</v>
      </c>
      <c r="C125" s="222">
        <v>2.2000000000000002</v>
      </c>
      <c r="D125" s="222" t="s">
        <v>776</v>
      </c>
      <c r="E125" s="222"/>
      <c r="F125" s="221" t="s">
        <v>265</v>
      </c>
      <c r="G125" s="225">
        <v>0</v>
      </c>
      <c r="H125" s="225">
        <f t="shared" si="41"/>
        <v>0</v>
      </c>
      <c r="I125" s="225">
        <f t="shared" si="42"/>
        <v>0</v>
      </c>
      <c r="J125" s="197"/>
      <c r="K125" s="224">
        <f t="shared" si="43"/>
        <v>0</v>
      </c>
      <c r="L125" s="224">
        <f t="shared" si="44"/>
        <v>0</v>
      </c>
      <c r="M125" s="224">
        <f t="shared" si="45"/>
        <v>0</v>
      </c>
      <c r="N125" s="356"/>
      <c r="O125" s="356"/>
      <c r="P125" s="356"/>
      <c r="Q125" s="356"/>
      <c r="R125" s="226">
        <v>0.1</v>
      </c>
      <c r="S125" s="227">
        <f t="shared" si="46"/>
        <v>0</v>
      </c>
      <c r="T125" s="349"/>
      <c r="U125" s="220"/>
      <c r="V125" s="8"/>
      <c r="W125" s="8"/>
      <c r="X125" s="8"/>
      <c r="Y125" s="8"/>
    </row>
    <row r="126" spans="1:25" ht="52.5" outlineLevel="2">
      <c r="A126" s="221"/>
      <c r="B126" s="221">
        <v>4</v>
      </c>
      <c r="C126" s="222">
        <v>2.2999999999999998</v>
      </c>
      <c r="D126" s="222" t="s">
        <v>2044</v>
      </c>
      <c r="E126" s="222"/>
      <c r="F126" s="221" t="s">
        <v>265</v>
      </c>
      <c r="G126" s="225">
        <v>803.51544016768298</v>
      </c>
      <c r="H126" s="225">
        <f t="shared" si="41"/>
        <v>16692.04302054935</v>
      </c>
      <c r="I126" s="225">
        <f t="shared" si="42"/>
        <v>16692.04302054935</v>
      </c>
      <c r="J126" s="197"/>
      <c r="K126" s="224">
        <f t="shared" si="43"/>
        <v>20.773767604348638</v>
      </c>
      <c r="L126" s="224">
        <f t="shared" si="44"/>
        <v>1.715265215037961</v>
      </c>
      <c r="M126" s="224">
        <f t="shared" si="45"/>
        <v>19.058502389310679</v>
      </c>
      <c r="N126" s="282">
        <v>12</v>
      </c>
      <c r="O126" s="282">
        <f>9.67581*调差材料基价表!$E$63/1000+调差材料基价表!$E$64*0.0264+0.2-3</f>
        <v>5.3259112630097061</v>
      </c>
      <c r="P126" s="282"/>
      <c r="Q126" s="282">
        <v>0</v>
      </c>
      <c r="R126" s="226">
        <v>0.1</v>
      </c>
      <c r="S126" s="227">
        <f t="shared" ref="S126" si="48">SUM(N126:Q126)*R126</f>
        <v>1.7325911263009708</v>
      </c>
      <c r="T126" s="222" t="s">
        <v>557</v>
      </c>
      <c r="U126" s="220"/>
      <c r="V126" s="8"/>
      <c r="W126" s="8"/>
      <c r="X126" s="8"/>
      <c r="Y126" s="8"/>
    </row>
    <row r="127" spans="1:25" ht="42" outlineLevel="1">
      <c r="A127" s="221">
        <v>6</v>
      </c>
      <c r="B127" s="221">
        <v>2</v>
      </c>
      <c r="C127" s="222" t="s">
        <v>2045</v>
      </c>
      <c r="D127" s="222" t="s">
        <v>263</v>
      </c>
      <c r="E127" s="222" t="s">
        <v>774</v>
      </c>
      <c r="F127" s="221" t="s">
        <v>265</v>
      </c>
      <c r="G127" s="225">
        <v>0</v>
      </c>
      <c r="H127" s="225">
        <f t="shared" si="41"/>
        <v>0</v>
      </c>
      <c r="I127" s="225">
        <f t="shared" si="42"/>
        <v>0</v>
      </c>
      <c r="J127" s="197"/>
      <c r="K127" s="224">
        <f t="shared" si="43"/>
        <v>0</v>
      </c>
      <c r="L127" s="224">
        <f t="shared" si="44"/>
        <v>0</v>
      </c>
      <c r="M127" s="224">
        <f t="shared" si="45"/>
        <v>0</v>
      </c>
      <c r="N127" s="305"/>
      <c r="O127" s="305"/>
      <c r="P127" s="305"/>
      <c r="Q127" s="305"/>
      <c r="R127" s="226">
        <v>0.1</v>
      </c>
      <c r="S127" s="227">
        <f t="shared" si="46"/>
        <v>0</v>
      </c>
      <c r="T127" s="222"/>
      <c r="U127" s="220"/>
      <c r="V127" s="8"/>
      <c r="W127" s="8"/>
      <c r="X127" s="8"/>
      <c r="Y127" s="8"/>
    </row>
    <row r="128" spans="1:25" ht="52.5" outlineLevel="2">
      <c r="A128" s="221"/>
      <c r="B128" s="221">
        <v>3</v>
      </c>
      <c r="C128" s="222" t="s">
        <v>266</v>
      </c>
      <c r="D128" s="222" t="s">
        <v>777</v>
      </c>
      <c r="E128" s="222"/>
      <c r="F128" s="221" t="s">
        <v>265</v>
      </c>
      <c r="G128" s="225">
        <v>0</v>
      </c>
      <c r="H128" s="225">
        <f t="shared" si="41"/>
        <v>0</v>
      </c>
      <c r="I128" s="225">
        <f t="shared" si="42"/>
        <v>0</v>
      </c>
      <c r="J128" s="197"/>
      <c r="K128" s="224">
        <f t="shared" si="43"/>
        <v>0</v>
      </c>
      <c r="L128" s="224">
        <f t="shared" si="44"/>
        <v>0</v>
      </c>
      <c r="M128" s="224">
        <f t="shared" si="45"/>
        <v>0</v>
      </c>
      <c r="N128" s="282"/>
      <c r="O128" s="282"/>
      <c r="P128" s="282"/>
      <c r="Q128" s="282"/>
      <c r="R128" s="226">
        <v>0.1</v>
      </c>
      <c r="S128" s="227">
        <f t="shared" si="46"/>
        <v>0</v>
      </c>
      <c r="T128" s="222"/>
      <c r="U128" s="220"/>
      <c r="V128" s="8"/>
      <c r="W128" s="8"/>
      <c r="X128" s="8"/>
      <c r="Y128" s="8"/>
    </row>
    <row r="129" spans="1:25" ht="52.5" outlineLevel="2">
      <c r="A129" s="221"/>
      <c r="B129" s="221">
        <v>4</v>
      </c>
      <c r="C129" s="222">
        <v>1.1000000000000001</v>
      </c>
      <c r="D129" s="222" t="s">
        <v>778</v>
      </c>
      <c r="E129" s="222"/>
      <c r="F129" s="221" t="s">
        <v>265</v>
      </c>
      <c r="G129" s="225">
        <v>0</v>
      </c>
      <c r="H129" s="225">
        <f t="shared" si="41"/>
        <v>0</v>
      </c>
      <c r="I129" s="225">
        <f t="shared" si="42"/>
        <v>0</v>
      </c>
      <c r="J129" s="197"/>
      <c r="K129" s="224">
        <f t="shared" si="43"/>
        <v>21.58246415152524</v>
      </c>
      <c r="L129" s="224">
        <f t="shared" si="44"/>
        <v>1.7820383244378639</v>
      </c>
      <c r="M129" s="224">
        <f t="shared" si="45"/>
        <v>19.800425827087377</v>
      </c>
      <c r="N129" s="282">
        <v>12</v>
      </c>
      <c r="O129" s="282">
        <f>6.2061*调差材料基价表!E63/1000+调差材料基价表!E64*0.0203+0.2</f>
        <v>6.0003871155339796</v>
      </c>
      <c r="P129" s="282"/>
      <c r="Q129" s="282">
        <v>0</v>
      </c>
      <c r="R129" s="226">
        <v>0.1</v>
      </c>
      <c r="S129" s="227">
        <f t="shared" si="46"/>
        <v>1.800038711553398</v>
      </c>
      <c r="T129" s="222" t="s">
        <v>506</v>
      </c>
      <c r="U129" s="220"/>
      <c r="V129" s="8"/>
      <c r="W129" s="8"/>
      <c r="X129" s="8"/>
      <c r="Y129" s="8"/>
    </row>
    <row r="130" spans="1:25" ht="42" outlineLevel="2">
      <c r="A130" s="221"/>
      <c r="B130" s="221">
        <v>4</v>
      </c>
      <c r="C130" s="222">
        <v>1.2</v>
      </c>
      <c r="D130" s="222" t="s">
        <v>779</v>
      </c>
      <c r="E130" s="222"/>
      <c r="F130" s="221" t="s">
        <v>265</v>
      </c>
      <c r="G130" s="225">
        <v>0</v>
      </c>
      <c r="H130" s="225">
        <f t="shared" si="41"/>
        <v>0</v>
      </c>
      <c r="I130" s="225">
        <f t="shared" si="42"/>
        <v>0</v>
      </c>
      <c r="J130" s="197"/>
      <c r="K130" s="224">
        <f t="shared" si="43"/>
        <v>0</v>
      </c>
      <c r="L130" s="224">
        <f t="shared" si="44"/>
        <v>0</v>
      </c>
      <c r="M130" s="224">
        <f t="shared" si="45"/>
        <v>0</v>
      </c>
      <c r="N130" s="356"/>
      <c r="O130" s="356"/>
      <c r="P130" s="356"/>
      <c r="Q130" s="356"/>
      <c r="R130" s="226">
        <v>0.1</v>
      </c>
      <c r="S130" s="227">
        <f t="shared" si="46"/>
        <v>0</v>
      </c>
      <c r="T130" s="222"/>
      <c r="U130" s="220"/>
      <c r="V130" s="8"/>
      <c r="W130" s="8"/>
      <c r="X130" s="8"/>
      <c r="Y130" s="8"/>
    </row>
    <row r="131" spans="1:25" ht="42" outlineLevel="2">
      <c r="A131" s="221"/>
      <c r="B131" s="221">
        <v>4</v>
      </c>
      <c r="C131" s="222">
        <v>1.3</v>
      </c>
      <c r="D131" s="222" t="s">
        <v>780</v>
      </c>
      <c r="E131" s="222"/>
      <c r="F131" s="221" t="s">
        <v>265</v>
      </c>
      <c r="G131" s="225">
        <v>0</v>
      </c>
      <c r="H131" s="225">
        <f t="shared" si="41"/>
        <v>0</v>
      </c>
      <c r="I131" s="225">
        <f t="shared" si="42"/>
        <v>0</v>
      </c>
      <c r="J131" s="197"/>
      <c r="K131" s="224">
        <f t="shared" si="43"/>
        <v>22.825234951456309</v>
      </c>
      <c r="L131" s="224">
        <f t="shared" si="44"/>
        <v>1.8846524271844658</v>
      </c>
      <c r="M131" s="224">
        <f t="shared" si="45"/>
        <v>20.940582524271843</v>
      </c>
      <c r="N131" s="282">
        <v>12</v>
      </c>
      <c r="O131" s="282">
        <f>0.0151*调差材料基价表!E49</f>
        <v>7.0368932038834933</v>
      </c>
      <c r="P131" s="282"/>
      <c r="Q131" s="282">
        <v>0</v>
      </c>
      <c r="R131" s="226">
        <v>0.1</v>
      </c>
      <c r="S131" s="227">
        <f t="shared" si="46"/>
        <v>1.9036893203883496</v>
      </c>
      <c r="T131" s="222"/>
      <c r="U131" s="220"/>
      <c r="V131" s="8"/>
      <c r="W131" s="8"/>
      <c r="X131" s="8"/>
      <c r="Y131" s="8"/>
    </row>
    <row r="132" spans="1:25" ht="52.5" outlineLevel="2">
      <c r="A132" s="221"/>
      <c r="B132" s="221">
        <v>3</v>
      </c>
      <c r="C132" s="222" t="s">
        <v>269</v>
      </c>
      <c r="D132" s="222" t="s">
        <v>2046</v>
      </c>
      <c r="E132" s="222"/>
      <c r="F132" s="221" t="s">
        <v>265</v>
      </c>
      <c r="G132" s="225">
        <v>0</v>
      </c>
      <c r="H132" s="225">
        <f t="shared" si="41"/>
        <v>0</v>
      </c>
      <c r="I132" s="225">
        <f t="shared" si="42"/>
        <v>0</v>
      </c>
      <c r="J132" s="197"/>
      <c r="K132" s="224">
        <f t="shared" si="43"/>
        <v>11.390499999999999</v>
      </c>
      <c r="L132" s="224">
        <f t="shared" si="44"/>
        <v>0.94049999999999989</v>
      </c>
      <c r="M132" s="224">
        <f t="shared" si="45"/>
        <v>10.45</v>
      </c>
      <c r="N132" s="282">
        <v>8.5</v>
      </c>
      <c r="O132" s="356"/>
      <c r="P132" s="282">
        <v>1</v>
      </c>
      <c r="Q132" s="356"/>
      <c r="R132" s="226">
        <v>0.1</v>
      </c>
      <c r="S132" s="227">
        <f t="shared" si="46"/>
        <v>0.95000000000000007</v>
      </c>
      <c r="T132" s="222"/>
      <c r="U132" s="220"/>
      <c r="V132" s="8"/>
      <c r="W132" s="8"/>
      <c r="X132" s="8"/>
      <c r="Y132" s="8"/>
    </row>
    <row r="133" spans="1:25" ht="52.5" outlineLevel="2">
      <c r="A133" s="221"/>
      <c r="B133" s="221"/>
      <c r="C133" s="222" t="s">
        <v>275</v>
      </c>
      <c r="D133" s="222" t="s">
        <v>2021</v>
      </c>
      <c r="E133" s="222" t="s">
        <v>482</v>
      </c>
      <c r="F133" s="221" t="s">
        <v>162</v>
      </c>
      <c r="G133" s="225">
        <v>0</v>
      </c>
      <c r="H133" s="225">
        <f t="shared" si="41"/>
        <v>0</v>
      </c>
      <c r="I133" s="225">
        <f t="shared" si="42"/>
        <v>0</v>
      </c>
      <c r="J133" s="197"/>
      <c r="K133" s="224">
        <f t="shared" si="43"/>
        <v>664.84550000000002</v>
      </c>
      <c r="L133" s="224">
        <f t="shared" si="44"/>
        <v>54.895500000000006</v>
      </c>
      <c r="M133" s="224">
        <f t="shared" si="45"/>
        <v>609.95000000000005</v>
      </c>
      <c r="N133" s="221">
        <v>50</v>
      </c>
      <c r="O133" s="221">
        <f>500</f>
        <v>500</v>
      </c>
      <c r="P133" s="282">
        <v>3</v>
      </c>
      <c r="Q133" s="282">
        <v>1.5</v>
      </c>
      <c r="R133" s="226">
        <v>0.1</v>
      </c>
      <c r="S133" s="227">
        <f t="shared" si="46"/>
        <v>55.45</v>
      </c>
      <c r="T133" s="349"/>
      <c r="U133" s="355"/>
      <c r="V133" s="8"/>
      <c r="W133" s="8"/>
      <c r="X133" s="8"/>
      <c r="Y133" s="8"/>
    </row>
    <row r="134" spans="1:25" ht="63" outlineLevel="2">
      <c r="A134" s="221"/>
      <c r="B134" s="221">
        <v>3</v>
      </c>
      <c r="C134" s="222" t="s">
        <v>278</v>
      </c>
      <c r="D134" s="222" t="s">
        <v>2047</v>
      </c>
      <c r="E134" s="222"/>
      <c r="F134" s="221" t="s">
        <v>265</v>
      </c>
      <c r="G134" s="225">
        <v>0</v>
      </c>
      <c r="H134" s="225">
        <f t="shared" si="41"/>
        <v>0</v>
      </c>
      <c r="I134" s="225">
        <f t="shared" si="42"/>
        <v>0</v>
      </c>
      <c r="J134" s="197"/>
      <c r="K134" s="224">
        <f t="shared" ref="K134:K142" si="49">L134+M134</f>
        <v>0</v>
      </c>
      <c r="L134" s="224">
        <f t="shared" ref="L134:L140" si="50">M134*0.09</f>
        <v>0</v>
      </c>
      <c r="M134" s="224">
        <f t="shared" ref="M134:M142" si="51">N134+O134+P134+Q134+S134</f>
        <v>0</v>
      </c>
      <c r="N134" s="282"/>
      <c r="O134" s="282"/>
      <c r="P134" s="282"/>
      <c r="Q134" s="282"/>
      <c r="R134" s="226">
        <v>0.1</v>
      </c>
      <c r="S134" s="227">
        <f t="shared" ref="S134:S141" si="52">SUM(N134:Q134)*R134</f>
        <v>0</v>
      </c>
      <c r="T134" s="222"/>
      <c r="U134" s="220"/>
      <c r="V134" s="8"/>
      <c r="W134" s="8"/>
      <c r="X134" s="8"/>
      <c r="Y134" s="8"/>
    </row>
    <row r="135" spans="1:25" ht="52.5" outlineLevel="2">
      <c r="A135" s="221"/>
      <c r="B135" s="221">
        <v>4</v>
      </c>
      <c r="C135" s="222">
        <v>3.1</v>
      </c>
      <c r="D135" s="222" t="s">
        <v>781</v>
      </c>
      <c r="E135" s="222"/>
      <c r="F135" s="221" t="s">
        <v>265</v>
      </c>
      <c r="G135" s="225">
        <v>0</v>
      </c>
      <c r="H135" s="225">
        <f t="shared" si="41"/>
        <v>0</v>
      </c>
      <c r="I135" s="225">
        <f t="shared" si="42"/>
        <v>0</v>
      </c>
      <c r="J135" s="197"/>
      <c r="K135" s="224">
        <f t="shared" si="49"/>
        <v>24.370767604348639</v>
      </c>
      <c r="L135" s="224">
        <f t="shared" si="50"/>
        <v>2.012265215037961</v>
      </c>
      <c r="M135" s="224">
        <f t="shared" si="51"/>
        <v>22.358502389310679</v>
      </c>
      <c r="N135" s="282">
        <v>12</v>
      </c>
      <c r="O135" s="282">
        <f>9.67581*调差材料基价表!E63/1000+调差材料基价表!E64*0.0264+0.2</f>
        <v>8.3259112630097061</v>
      </c>
      <c r="P135" s="282"/>
      <c r="Q135" s="282">
        <v>0</v>
      </c>
      <c r="R135" s="226">
        <v>0.1</v>
      </c>
      <c r="S135" s="227">
        <f t="shared" si="52"/>
        <v>2.0325911263009711</v>
      </c>
      <c r="T135" s="222" t="s">
        <v>302</v>
      </c>
      <c r="U135" s="220"/>
      <c r="V135" s="8"/>
      <c r="W135" s="8"/>
      <c r="X135" s="8"/>
      <c r="Y135" s="8"/>
    </row>
    <row r="136" spans="1:25" ht="31.5" outlineLevel="2">
      <c r="A136" s="221"/>
      <c r="B136" s="221">
        <v>4</v>
      </c>
      <c r="C136" s="222">
        <v>3.2</v>
      </c>
      <c r="D136" s="222" t="s">
        <v>782</v>
      </c>
      <c r="E136" s="222"/>
      <c r="F136" s="221" t="s">
        <v>265</v>
      </c>
      <c r="G136" s="225">
        <v>0</v>
      </c>
      <c r="H136" s="225">
        <f t="shared" si="41"/>
        <v>0</v>
      </c>
      <c r="I136" s="225">
        <f t="shared" si="42"/>
        <v>0</v>
      </c>
      <c r="J136" s="197"/>
      <c r="K136" s="224">
        <f t="shared" si="49"/>
        <v>0</v>
      </c>
      <c r="L136" s="224">
        <f t="shared" si="50"/>
        <v>0</v>
      </c>
      <c r="M136" s="224">
        <f t="shared" si="51"/>
        <v>0</v>
      </c>
      <c r="N136" s="356"/>
      <c r="O136" s="356"/>
      <c r="P136" s="356"/>
      <c r="Q136" s="356"/>
      <c r="R136" s="226">
        <v>0.1</v>
      </c>
      <c r="S136" s="227">
        <f t="shared" si="52"/>
        <v>0</v>
      </c>
      <c r="T136" s="222"/>
      <c r="U136" s="220"/>
      <c r="V136" s="8"/>
      <c r="W136" s="8"/>
      <c r="X136" s="8"/>
      <c r="Y136" s="8"/>
    </row>
    <row r="137" spans="1:25" ht="52.5" outlineLevel="2">
      <c r="A137" s="221"/>
      <c r="B137" s="221">
        <v>4</v>
      </c>
      <c r="C137" s="222">
        <v>3.3</v>
      </c>
      <c r="D137" s="222" t="s">
        <v>2048</v>
      </c>
      <c r="E137" s="222"/>
      <c r="F137" s="221" t="s">
        <v>265</v>
      </c>
      <c r="G137" s="225">
        <v>0</v>
      </c>
      <c r="H137" s="225">
        <f t="shared" si="41"/>
        <v>0</v>
      </c>
      <c r="I137" s="225">
        <f t="shared" si="42"/>
        <v>0</v>
      </c>
      <c r="J137" s="197"/>
      <c r="K137" s="224">
        <f t="shared" si="49"/>
        <v>20.773767604348638</v>
      </c>
      <c r="L137" s="224">
        <f t="shared" si="50"/>
        <v>1.715265215037961</v>
      </c>
      <c r="M137" s="224">
        <f t="shared" si="51"/>
        <v>19.058502389310679</v>
      </c>
      <c r="N137" s="282">
        <v>12</v>
      </c>
      <c r="O137" s="282">
        <f>9.67581*调差材料基价表!E63/1000+调差材料基价表!E64*0.0264+0.2-3</f>
        <v>5.3259112630097061</v>
      </c>
      <c r="P137" s="282"/>
      <c r="Q137" s="282">
        <v>0</v>
      </c>
      <c r="R137" s="226">
        <v>0.1</v>
      </c>
      <c r="S137" s="227">
        <f t="shared" si="52"/>
        <v>1.7325911263009708</v>
      </c>
      <c r="T137" s="222" t="s">
        <v>557</v>
      </c>
      <c r="U137" s="220"/>
      <c r="V137" s="8"/>
      <c r="W137" s="8"/>
      <c r="X137" s="8"/>
      <c r="Y137" s="8"/>
    </row>
    <row r="138" spans="1:25" ht="21" outlineLevel="1">
      <c r="A138" s="221">
        <v>7</v>
      </c>
      <c r="B138" s="221">
        <v>2</v>
      </c>
      <c r="C138" s="222" t="s">
        <v>522</v>
      </c>
      <c r="D138" s="222" t="s">
        <v>263</v>
      </c>
      <c r="E138" s="222" t="s">
        <v>523</v>
      </c>
      <c r="F138" s="221" t="s">
        <v>524</v>
      </c>
      <c r="G138" s="225">
        <v>0</v>
      </c>
      <c r="H138" s="225">
        <f t="shared" si="41"/>
        <v>0</v>
      </c>
      <c r="I138" s="225">
        <f t="shared" si="42"/>
        <v>0</v>
      </c>
      <c r="J138" s="197"/>
      <c r="K138" s="224">
        <f t="shared" si="49"/>
        <v>47.96</v>
      </c>
      <c r="L138" s="224">
        <f t="shared" si="50"/>
        <v>3.96</v>
      </c>
      <c r="M138" s="224">
        <f t="shared" si="51"/>
        <v>44</v>
      </c>
      <c r="N138" s="282">
        <v>5</v>
      </c>
      <c r="O138" s="282">
        <v>35</v>
      </c>
      <c r="P138" s="282"/>
      <c r="Q138" s="282">
        <v>0</v>
      </c>
      <c r="R138" s="226">
        <v>0.1</v>
      </c>
      <c r="S138" s="227">
        <f t="shared" si="52"/>
        <v>4</v>
      </c>
      <c r="T138" s="222"/>
      <c r="U138" s="220"/>
      <c r="V138" s="8"/>
      <c r="W138" s="8"/>
      <c r="X138" s="8"/>
      <c r="Y138" s="8"/>
    </row>
    <row r="139" spans="1:25" ht="31.5" outlineLevel="1">
      <c r="A139" s="221">
        <v>8</v>
      </c>
      <c r="B139" s="221">
        <v>2</v>
      </c>
      <c r="C139" s="222" t="s">
        <v>525</v>
      </c>
      <c r="D139" s="222" t="s">
        <v>263</v>
      </c>
      <c r="E139" s="222" t="s">
        <v>526</v>
      </c>
      <c r="F139" s="221" t="s">
        <v>212</v>
      </c>
      <c r="G139" s="225">
        <v>0</v>
      </c>
      <c r="H139" s="225">
        <f t="shared" ref="H139:H142" si="53">G139*K139</f>
        <v>0</v>
      </c>
      <c r="I139" s="225">
        <f t="shared" ref="I139:I142" si="54">G139*K139*(1+J139)</f>
        <v>0</v>
      </c>
      <c r="J139" s="197"/>
      <c r="K139" s="224">
        <f t="shared" si="49"/>
        <v>94.721000000000004</v>
      </c>
      <c r="L139" s="224">
        <f t="shared" si="50"/>
        <v>7.8210000000000006</v>
      </c>
      <c r="M139" s="224">
        <f t="shared" si="51"/>
        <v>86.9</v>
      </c>
      <c r="N139" s="282">
        <v>35</v>
      </c>
      <c r="O139" s="282">
        <v>44</v>
      </c>
      <c r="P139" s="282"/>
      <c r="Q139" s="282">
        <v>0</v>
      </c>
      <c r="R139" s="226">
        <v>0.1</v>
      </c>
      <c r="S139" s="227">
        <f t="shared" si="52"/>
        <v>7.9</v>
      </c>
      <c r="T139" s="222"/>
      <c r="U139" s="220"/>
      <c r="V139" s="8"/>
      <c r="W139" s="8"/>
      <c r="X139" s="8"/>
      <c r="Y139" s="8"/>
    </row>
    <row r="140" spans="1:25" ht="21" outlineLevel="1">
      <c r="A140" s="221">
        <v>9</v>
      </c>
      <c r="B140" s="221">
        <v>2</v>
      </c>
      <c r="C140" s="222" t="s">
        <v>527</v>
      </c>
      <c r="D140" s="222" t="s">
        <v>263</v>
      </c>
      <c r="E140" s="222" t="s">
        <v>529</v>
      </c>
      <c r="F140" s="221" t="s">
        <v>212</v>
      </c>
      <c r="G140" s="225">
        <v>0</v>
      </c>
      <c r="H140" s="225">
        <f t="shared" si="53"/>
        <v>0</v>
      </c>
      <c r="I140" s="225">
        <f t="shared" si="54"/>
        <v>0</v>
      </c>
      <c r="J140" s="197"/>
      <c r="K140" s="224">
        <f t="shared" si="49"/>
        <v>57.262586206896593</v>
      </c>
      <c r="L140" s="224">
        <f t="shared" si="50"/>
        <v>4.7281034482758653</v>
      </c>
      <c r="M140" s="224">
        <f t="shared" si="51"/>
        <v>52.534482758620726</v>
      </c>
      <c r="N140" s="282">
        <v>15</v>
      </c>
      <c r="O140" s="282">
        <v>32.758620689655203</v>
      </c>
      <c r="P140" s="282"/>
      <c r="Q140" s="282">
        <v>0</v>
      </c>
      <c r="R140" s="226">
        <v>0.1</v>
      </c>
      <c r="S140" s="227">
        <f t="shared" si="52"/>
        <v>4.7758620689655205</v>
      </c>
      <c r="T140" s="222"/>
      <c r="U140" s="220"/>
      <c r="V140" s="8"/>
      <c r="W140" s="8"/>
      <c r="X140" s="8"/>
      <c r="Y140" s="8"/>
    </row>
    <row r="141" spans="1:25" ht="21" outlineLevel="1">
      <c r="A141" s="221">
        <v>10</v>
      </c>
      <c r="B141" s="221">
        <v>2</v>
      </c>
      <c r="C141" s="222" t="s">
        <v>693</v>
      </c>
      <c r="D141" s="222" t="s">
        <v>263</v>
      </c>
      <c r="E141" s="222" t="s">
        <v>529</v>
      </c>
      <c r="F141" s="221" t="s">
        <v>212</v>
      </c>
      <c r="G141" s="225">
        <v>0</v>
      </c>
      <c r="H141" s="225">
        <f t="shared" si="53"/>
        <v>0</v>
      </c>
      <c r="I141" s="225">
        <f t="shared" si="54"/>
        <v>0</v>
      </c>
      <c r="J141" s="197"/>
      <c r="K141" s="224">
        <f t="shared" si="49"/>
        <v>0</v>
      </c>
      <c r="L141" s="224">
        <f t="shared" ref="L141:L202" si="55">M141*0.09</f>
        <v>0</v>
      </c>
      <c r="M141" s="224">
        <f t="shared" si="51"/>
        <v>0</v>
      </c>
      <c r="N141" s="358"/>
      <c r="O141" s="358"/>
      <c r="P141" s="356"/>
      <c r="Q141" s="356"/>
      <c r="R141" s="226">
        <v>0.1</v>
      </c>
      <c r="S141" s="227">
        <f t="shared" si="52"/>
        <v>0</v>
      </c>
      <c r="T141" s="222"/>
      <c r="U141" s="248"/>
    </row>
    <row r="142" spans="1:25" ht="31.5" outlineLevel="1">
      <c r="A142" s="221">
        <v>11</v>
      </c>
      <c r="B142" s="221">
        <v>2</v>
      </c>
      <c r="C142" s="222" t="s">
        <v>530</v>
      </c>
      <c r="D142" s="222" t="s">
        <v>263</v>
      </c>
      <c r="E142" s="222" t="s">
        <v>531</v>
      </c>
      <c r="F142" s="221" t="s">
        <v>212</v>
      </c>
      <c r="G142" s="225">
        <v>0</v>
      </c>
      <c r="H142" s="225">
        <f t="shared" si="53"/>
        <v>0</v>
      </c>
      <c r="I142" s="225">
        <f t="shared" si="54"/>
        <v>0</v>
      </c>
      <c r="J142" s="197"/>
      <c r="K142" s="224">
        <f t="shared" si="49"/>
        <v>15.587</v>
      </c>
      <c r="L142" s="224">
        <f t="shared" si="55"/>
        <v>1.2869999999999999</v>
      </c>
      <c r="M142" s="224">
        <f t="shared" si="51"/>
        <v>14.3</v>
      </c>
      <c r="N142" s="282">
        <v>5</v>
      </c>
      <c r="O142" s="282">
        <v>8</v>
      </c>
      <c r="P142" s="282"/>
      <c r="Q142" s="282">
        <v>0</v>
      </c>
      <c r="R142" s="226">
        <v>0.1</v>
      </c>
      <c r="S142" s="227">
        <f t="shared" ref="S142:S143" si="56">SUM(N142:Q142)*R142</f>
        <v>1.3</v>
      </c>
      <c r="T142" s="222"/>
      <c r="U142" s="220"/>
      <c r="V142" s="8"/>
      <c r="W142" s="8"/>
      <c r="X142" s="8"/>
      <c r="Y142" s="8"/>
    </row>
    <row r="143" spans="1:25" ht="13.5">
      <c r="A143" s="221"/>
      <c r="B143" s="221"/>
      <c r="C143" s="211" t="s">
        <v>248</v>
      </c>
      <c r="D143" s="222"/>
      <c r="E143" s="222"/>
      <c r="F143" s="221"/>
      <c r="G143" s="225">
        <v>0</v>
      </c>
      <c r="H143" s="344">
        <f>SUM(H74:H142)</f>
        <v>2120036.5595181994</v>
      </c>
      <c r="I143" s="344">
        <f>SUM(I74:I142)</f>
        <v>2120036.5595181994</v>
      </c>
      <c r="J143" s="221"/>
      <c r="K143" s="224">
        <f t="shared" ref="K143:K144" si="57">L143+M143</f>
        <v>0</v>
      </c>
      <c r="L143" s="224">
        <f t="shared" si="55"/>
        <v>0</v>
      </c>
      <c r="M143" s="224">
        <f t="shared" ref="M143:M144" si="58">N143+O143+P143+Q143+S143</f>
        <v>0</v>
      </c>
      <c r="N143" s="305"/>
      <c r="O143" s="305"/>
      <c r="P143" s="305"/>
      <c r="Q143" s="305"/>
      <c r="R143" s="226">
        <v>0.1</v>
      </c>
      <c r="S143" s="227">
        <f t="shared" si="56"/>
        <v>0</v>
      </c>
      <c r="T143" s="222"/>
      <c r="U143" s="220"/>
      <c r="V143" s="8"/>
      <c r="W143" s="8"/>
      <c r="X143" s="8"/>
      <c r="Y143" s="8"/>
    </row>
    <row r="144" spans="1:25" ht="13.5">
      <c r="A144" s="292" t="s">
        <v>74</v>
      </c>
      <c r="B144" s="359">
        <v>1</v>
      </c>
      <c r="C144" s="211" t="s">
        <v>53</v>
      </c>
      <c r="D144" s="222"/>
      <c r="E144" s="211"/>
      <c r="F144" s="221"/>
      <c r="G144" s="225">
        <v>0</v>
      </c>
      <c r="H144" s="221"/>
      <c r="I144" s="221"/>
      <c r="J144" s="221"/>
      <c r="K144" s="224">
        <f t="shared" si="57"/>
        <v>0</v>
      </c>
      <c r="L144" s="224">
        <f t="shared" si="55"/>
        <v>0</v>
      </c>
      <c r="M144" s="224">
        <f t="shared" si="58"/>
        <v>0</v>
      </c>
      <c r="N144" s="360"/>
      <c r="O144" s="360"/>
      <c r="P144" s="360"/>
      <c r="Q144" s="360"/>
      <c r="R144" s="226">
        <v>0.1</v>
      </c>
      <c r="S144" s="361"/>
      <c r="T144" s="361"/>
      <c r="U144" s="362"/>
    </row>
    <row r="145" spans="1:25" ht="42" outlineLevel="1">
      <c r="A145" s="221">
        <v>1</v>
      </c>
      <c r="B145" s="221">
        <v>2</v>
      </c>
      <c r="C145" s="222" t="s">
        <v>2049</v>
      </c>
      <c r="D145" s="222" t="s">
        <v>263</v>
      </c>
      <c r="E145" s="222" t="s">
        <v>783</v>
      </c>
      <c r="F145" s="221" t="s">
        <v>265</v>
      </c>
      <c r="G145" s="225">
        <v>23510.087306592999</v>
      </c>
      <c r="H145" s="225">
        <f t="shared" ref="H145" si="59">G145*K145</f>
        <v>0</v>
      </c>
      <c r="I145" s="225">
        <f t="shared" ref="I145" si="60">G145*K145*(1+J145)</f>
        <v>0</v>
      </c>
      <c r="J145" s="197"/>
      <c r="K145" s="224"/>
      <c r="L145" s="224">
        <f t="shared" si="55"/>
        <v>0</v>
      </c>
      <c r="M145" s="224"/>
      <c r="N145" s="305"/>
      <c r="O145" s="305"/>
      <c r="P145" s="305"/>
      <c r="Q145" s="305"/>
      <c r="R145" s="226">
        <v>0.1</v>
      </c>
      <c r="S145" s="306"/>
      <c r="T145" s="276"/>
      <c r="U145" s="306"/>
      <c r="V145" s="8"/>
      <c r="W145" s="8"/>
      <c r="X145" s="8"/>
      <c r="Y145" s="8"/>
    </row>
    <row r="146" spans="1:25" ht="73.5" outlineLevel="2">
      <c r="A146" s="221"/>
      <c r="B146" s="221">
        <v>3</v>
      </c>
      <c r="C146" s="222" t="s">
        <v>266</v>
      </c>
      <c r="D146" s="222" t="s">
        <v>784</v>
      </c>
      <c r="E146" s="222"/>
      <c r="F146" s="221" t="s">
        <v>265</v>
      </c>
      <c r="G146" s="225">
        <v>23510.087306592999</v>
      </c>
      <c r="H146" s="225">
        <f t="shared" ref="H146:H204" si="61">G146*K146</f>
        <v>1918848.1057035299</v>
      </c>
      <c r="I146" s="225">
        <f t="shared" ref="I146:I204" si="62">G146*K146*(1+J146)</f>
        <v>1918848.1057035299</v>
      </c>
      <c r="J146" s="197"/>
      <c r="K146" s="224">
        <f t="shared" ref="K146" si="63">L146+M146</f>
        <v>81.61807655922324</v>
      </c>
      <c r="L146" s="224">
        <f t="shared" si="55"/>
        <v>6.7391072388349462</v>
      </c>
      <c r="M146" s="224">
        <f t="shared" ref="M146" si="64">N146+O146+P146+Q146+S146</f>
        <v>74.878969320388293</v>
      </c>
      <c r="N146" s="282">
        <v>14</v>
      </c>
      <c r="O146" s="282">
        <f>0.12*调差材料基价表!$E$12</f>
        <v>47.766990291262083</v>
      </c>
      <c r="P146" s="282">
        <f>(1/0.25)*2*0.222*一级钢综合/1000</f>
        <v>6.3048000000000002</v>
      </c>
      <c r="Q146" s="282">
        <v>0</v>
      </c>
      <c r="R146" s="226">
        <v>0.1</v>
      </c>
      <c r="S146" s="345">
        <f t="shared" ref="S146" si="65">SUM(N146:Q146)*R146</f>
        <v>6.8071790291262095</v>
      </c>
      <c r="T146" s="349" t="s">
        <v>785</v>
      </c>
      <c r="U146" s="306"/>
      <c r="V146" s="8"/>
      <c r="W146" s="8"/>
      <c r="X146" s="8"/>
      <c r="Y146" s="8"/>
    </row>
    <row r="147" spans="1:25" ht="52.5" outlineLevel="2">
      <c r="A147" s="221"/>
      <c r="B147" s="221">
        <v>3</v>
      </c>
      <c r="C147" s="222" t="s">
        <v>269</v>
      </c>
      <c r="D147" s="222" t="s">
        <v>786</v>
      </c>
      <c r="E147" s="222"/>
      <c r="F147" s="221" t="s">
        <v>265</v>
      </c>
      <c r="G147" s="225">
        <v>23510.087306592999</v>
      </c>
      <c r="H147" s="225">
        <f t="shared" si="61"/>
        <v>0</v>
      </c>
      <c r="I147" s="225">
        <f t="shared" si="62"/>
        <v>0</v>
      </c>
      <c r="J147" s="197"/>
      <c r="K147" s="224"/>
      <c r="L147" s="224">
        <f t="shared" si="55"/>
        <v>0</v>
      </c>
      <c r="M147" s="224"/>
      <c r="N147" s="282"/>
      <c r="O147" s="282"/>
      <c r="P147" s="282"/>
      <c r="Q147" s="282"/>
      <c r="R147" s="226">
        <v>0.1</v>
      </c>
      <c r="S147" s="227"/>
      <c r="T147" s="349"/>
      <c r="U147" s="306"/>
      <c r="V147" s="8"/>
      <c r="W147" s="8"/>
      <c r="X147" s="8"/>
      <c r="Y147" s="8"/>
    </row>
    <row r="148" spans="1:25" ht="52.5" outlineLevel="2">
      <c r="A148" s="221"/>
      <c r="B148" s="221">
        <v>4</v>
      </c>
      <c r="C148" s="222">
        <v>2.1</v>
      </c>
      <c r="D148" s="222" t="s">
        <v>787</v>
      </c>
      <c r="E148" s="222"/>
      <c r="F148" s="221" t="s">
        <v>265</v>
      </c>
      <c r="G148" s="225">
        <v>23510.087306592999</v>
      </c>
      <c r="H148" s="225">
        <f t="shared" si="61"/>
        <v>523152.34898626793</v>
      </c>
      <c r="I148" s="225">
        <f t="shared" si="62"/>
        <v>523152.34898626793</v>
      </c>
      <c r="J148" s="197"/>
      <c r="K148" s="224">
        <f t="shared" ref="K148:K151" si="66">L148+M148</f>
        <v>22.252250370825244</v>
      </c>
      <c r="L148" s="224">
        <f t="shared" si="55"/>
        <v>1.8373417737378641</v>
      </c>
      <c r="M148" s="224">
        <f t="shared" ref="M148:M151" si="67">N148+O148+P148+Q148+S148</f>
        <v>20.414908597087379</v>
      </c>
      <c r="N148" s="282">
        <v>12</v>
      </c>
      <c r="O148" s="282">
        <f>7.745*调差材料基价表!$E$63/1000+0.0203*调差材料基价表!$E$64+0.2</f>
        <v>6.5590078155339793</v>
      </c>
      <c r="P148" s="282"/>
      <c r="Q148" s="282">
        <v>0</v>
      </c>
      <c r="R148" s="226">
        <v>0.1</v>
      </c>
      <c r="S148" s="227">
        <f t="shared" ref="S148:S151" si="68">SUM(N148:Q148)*R148</f>
        <v>1.8559007815533981</v>
      </c>
      <c r="T148" s="348" t="s">
        <v>514</v>
      </c>
      <c r="U148" s="248"/>
      <c r="V148" s="8"/>
      <c r="W148" s="8"/>
      <c r="X148" s="8"/>
      <c r="Y148" s="8"/>
    </row>
    <row r="149" spans="1:25" ht="42" outlineLevel="2">
      <c r="A149" s="221"/>
      <c r="B149" s="221">
        <v>4</v>
      </c>
      <c r="C149" s="222">
        <v>2.2000000000000002</v>
      </c>
      <c r="D149" s="222" t="s">
        <v>788</v>
      </c>
      <c r="E149" s="222"/>
      <c r="F149" s="221" t="s">
        <v>265</v>
      </c>
      <c r="G149" s="225">
        <v>0</v>
      </c>
      <c r="H149" s="225">
        <f t="shared" si="61"/>
        <v>0</v>
      </c>
      <c r="I149" s="225">
        <f t="shared" si="62"/>
        <v>0</v>
      </c>
      <c r="J149" s="197"/>
      <c r="K149" s="224">
        <f t="shared" si="66"/>
        <v>0</v>
      </c>
      <c r="L149" s="224">
        <f t="shared" si="55"/>
        <v>0</v>
      </c>
      <c r="M149" s="224">
        <f t="shared" si="67"/>
        <v>0</v>
      </c>
      <c r="N149" s="356"/>
      <c r="O149" s="356"/>
      <c r="P149" s="356"/>
      <c r="Q149" s="356"/>
      <c r="R149" s="226">
        <v>0.1</v>
      </c>
      <c r="S149" s="227">
        <f t="shared" si="68"/>
        <v>0</v>
      </c>
      <c r="T149" s="276" t="s">
        <v>789</v>
      </c>
      <c r="U149" s="306"/>
      <c r="V149" s="8"/>
      <c r="W149" s="8"/>
      <c r="X149" s="8"/>
      <c r="Y149" s="8"/>
    </row>
    <row r="150" spans="1:25" ht="42" outlineLevel="2">
      <c r="A150" s="221"/>
      <c r="B150" s="221">
        <v>4</v>
      </c>
      <c r="C150" s="222">
        <v>2.2999999999999998</v>
      </c>
      <c r="D150" s="222" t="s">
        <v>790</v>
      </c>
      <c r="E150" s="222"/>
      <c r="F150" s="221" t="s">
        <v>162</v>
      </c>
      <c r="G150" s="225">
        <v>0</v>
      </c>
      <c r="H150" s="225">
        <f t="shared" si="61"/>
        <v>0</v>
      </c>
      <c r="I150" s="225">
        <f t="shared" si="62"/>
        <v>0</v>
      </c>
      <c r="J150" s="197"/>
      <c r="K150" s="224">
        <f t="shared" si="66"/>
        <v>22.936986407766987</v>
      </c>
      <c r="L150" s="224">
        <f t="shared" si="55"/>
        <v>1.893879611650485</v>
      </c>
      <c r="M150" s="224">
        <f t="shared" si="67"/>
        <v>21.043106796116501</v>
      </c>
      <c r="N150" s="282">
        <v>12</v>
      </c>
      <c r="O150" s="282">
        <f>0.0153*调差材料基价表!$E$49</f>
        <v>7.1300970873786378</v>
      </c>
      <c r="P150" s="282"/>
      <c r="Q150" s="282">
        <v>0</v>
      </c>
      <c r="R150" s="226">
        <v>0.1</v>
      </c>
      <c r="S150" s="227">
        <f t="shared" si="68"/>
        <v>1.9130097087378637</v>
      </c>
      <c r="T150" s="276" t="s">
        <v>789</v>
      </c>
      <c r="U150" s="306"/>
      <c r="V150" s="8"/>
      <c r="W150" s="8"/>
      <c r="X150" s="8"/>
      <c r="Y150" s="8"/>
    </row>
    <row r="151" spans="1:25" ht="157.5" outlineLevel="2">
      <c r="A151" s="221"/>
      <c r="B151" s="221">
        <v>3</v>
      </c>
      <c r="C151" s="222" t="s">
        <v>275</v>
      </c>
      <c r="D151" s="222" t="s">
        <v>791</v>
      </c>
      <c r="E151" s="222"/>
      <c r="F151" s="221" t="s">
        <v>265</v>
      </c>
      <c r="G151" s="225">
        <v>23510.087306592999</v>
      </c>
      <c r="H151" s="225">
        <f t="shared" si="61"/>
        <v>408734.6228687726</v>
      </c>
      <c r="I151" s="225">
        <f t="shared" si="62"/>
        <v>408734.6228687726</v>
      </c>
      <c r="J151" s="197"/>
      <c r="K151" s="224">
        <f t="shared" si="66"/>
        <v>17.3855</v>
      </c>
      <c r="L151" s="224">
        <f t="shared" si="55"/>
        <v>1.4354999999999998</v>
      </c>
      <c r="M151" s="224">
        <f t="shared" si="67"/>
        <v>15.95</v>
      </c>
      <c r="N151" s="282">
        <v>8.5</v>
      </c>
      <c r="O151" s="282">
        <v>5</v>
      </c>
      <c r="P151" s="282">
        <v>1</v>
      </c>
      <c r="Q151" s="282">
        <v>0</v>
      </c>
      <c r="R151" s="226">
        <v>0.1</v>
      </c>
      <c r="S151" s="227">
        <f t="shared" si="68"/>
        <v>1.4500000000000002</v>
      </c>
      <c r="T151" s="349"/>
      <c r="U151" s="306"/>
      <c r="V151" s="8"/>
      <c r="W151" s="8"/>
      <c r="X151" s="8"/>
      <c r="Y151" s="8"/>
    </row>
    <row r="152" spans="1:25" ht="42" outlineLevel="2">
      <c r="A152" s="221"/>
      <c r="B152" s="221">
        <v>3</v>
      </c>
      <c r="C152" s="222" t="s">
        <v>278</v>
      </c>
      <c r="D152" s="222" t="s">
        <v>792</v>
      </c>
      <c r="E152" s="222"/>
      <c r="F152" s="221" t="s">
        <v>265</v>
      </c>
      <c r="G152" s="225">
        <v>23510.087306592999</v>
      </c>
      <c r="H152" s="225">
        <f t="shared" si="61"/>
        <v>0</v>
      </c>
      <c r="I152" s="225">
        <f t="shared" si="62"/>
        <v>0</v>
      </c>
      <c r="J152" s="197"/>
      <c r="K152" s="224"/>
      <c r="L152" s="224">
        <f t="shared" si="55"/>
        <v>0</v>
      </c>
      <c r="M152" s="224"/>
      <c r="N152" s="282"/>
      <c r="O152" s="282"/>
      <c r="P152" s="282"/>
      <c r="Q152" s="282"/>
      <c r="R152" s="226">
        <v>0.1</v>
      </c>
      <c r="S152" s="227"/>
      <c r="T152" s="349"/>
      <c r="U152" s="306"/>
      <c r="V152" s="8"/>
      <c r="W152" s="8"/>
      <c r="X152" s="8"/>
      <c r="Y152" s="8"/>
    </row>
    <row r="153" spans="1:25" ht="52.5" outlineLevel="2">
      <c r="A153" s="221"/>
      <c r="B153" s="221">
        <v>4</v>
      </c>
      <c r="C153" s="222">
        <v>4.0999999999999996</v>
      </c>
      <c r="D153" s="222" t="s">
        <v>793</v>
      </c>
      <c r="E153" s="222"/>
      <c r="F153" s="221" t="s">
        <v>265</v>
      </c>
      <c r="G153" s="225">
        <v>23510.087306592999</v>
      </c>
      <c r="H153" s="225">
        <f t="shared" si="61"/>
        <v>523152.34898626793</v>
      </c>
      <c r="I153" s="225">
        <f t="shared" si="62"/>
        <v>523152.34898626793</v>
      </c>
      <c r="J153" s="197"/>
      <c r="K153" s="224">
        <f t="shared" ref="K153:K157" si="69">L153+M153</f>
        <v>22.252250370825244</v>
      </c>
      <c r="L153" s="224">
        <f t="shared" si="55"/>
        <v>1.8373417737378641</v>
      </c>
      <c r="M153" s="224">
        <f t="shared" ref="M153:M157" si="70">N153+O153+P153+Q153+S153</f>
        <v>20.414908597087379</v>
      </c>
      <c r="N153" s="282">
        <v>12</v>
      </c>
      <c r="O153" s="282">
        <f>7.745*调差材料基价表!$E$63/1000+0.0203*调差材料基价表!$E$64+0.2</f>
        <v>6.5590078155339793</v>
      </c>
      <c r="P153" s="282"/>
      <c r="Q153" s="282">
        <v>0</v>
      </c>
      <c r="R153" s="226">
        <v>0.1</v>
      </c>
      <c r="S153" s="227">
        <f t="shared" ref="S153:S154" si="71">SUM(N153:Q153)*R153</f>
        <v>1.8559007815533981</v>
      </c>
      <c r="T153" s="348" t="s">
        <v>514</v>
      </c>
      <c r="U153" s="248"/>
      <c r="V153" s="8"/>
      <c r="W153" s="8"/>
      <c r="X153" s="8"/>
      <c r="Y153" s="8"/>
    </row>
    <row r="154" spans="1:25" ht="31.5" outlineLevel="2">
      <c r="A154" s="221"/>
      <c r="B154" s="221">
        <v>4</v>
      </c>
      <c r="C154" s="222">
        <v>4.2</v>
      </c>
      <c r="D154" s="222" t="s">
        <v>794</v>
      </c>
      <c r="E154" s="222"/>
      <c r="F154" s="221" t="s">
        <v>265</v>
      </c>
      <c r="G154" s="225">
        <v>0</v>
      </c>
      <c r="H154" s="225">
        <f t="shared" si="61"/>
        <v>0</v>
      </c>
      <c r="I154" s="225">
        <f t="shared" si="62"/>
        <v>0</v>
      </c>
      <c r="J154" s="197"/>
      <c r="K154" s="224">
        <f t="shared" si="69"/>
        <v>0</v>
      </c>
      <c r="L154" s="224">
        <f t="shared" si="55"/>
        <v>0</v>
      </c>
      <c r="M154" s="224">
        <f t="shared" si="70"/>
        <v>0</v>
      </c>
      <c r="N154" s="356"/>
      <c r="O154" s="356"/>
      <c r="P154" s="356"/>
      <c r="Q154" s="356"/>
      <c r="R154" s="226">
        <v>0.1</v>
      </c>
      <c r="S154" s="227">
        <f t="shared" si="71"/>
        <v>0</v>
      </c>
      <c r="T154" s="276" t="s">
        <v>789</v>
      </c>
      <c r="U154" s="306"/>
      <c r="V154" s="8"/>
      <c r="W154" s="8"/>
      <c r="X154" s="8"/>
      <c r="Y154" s="8"/>
    </row>
    <row r="155" spans="1:25" ht="73.5" outlineLevel="1">
      <c r="A155" s="221">
        <v>2</v>
      </c>
      <c r="B155" s="221">
        <v>2</v>
      </c>
      <c r="C155" s="222" t="s">
        <v>2050</v>
      </c>
      <c r="D155" s="222" t="s">
        <v>263</v>
      </c>
      <c r="E155" s="222" t="s">
        <v>795</v>
      </c>
      <c r="F155" s="221" t="s">
        <v>265</v>
      </c>
      <c r="G155" s="225">
        <v>59750.569839939002</v>
      </c>
      <c r="H155" s="225">
        <f t="shared" si="61"/>
        <v>0</v>
      </c>
      <c r="I155" s="225">
        <f t="shared" si="62"/>
        <v>0</v>
      </c>
      <c r="J155" s="197"/>
      <c r="K155" s="224">
        <f t="shared" si="69"/>
        <v>0</v>
      </c>
      <c r="L155" s="224">
        <f t="shared" si="55"/>
        <v>0</v>
      </c>
      <c r="M155" s="224">
        <f t="shared" si="70"/>
        <v>0</v>
      </c>
      <c r="N155" s="305"/>
      <c r="O155" s="305"/>
      <c r="P155" s="305"/>
      <c r="Q155" s="305"/>
      <c r="R155" s="226">
        <v>0.1</v>
      </c>
      <c r="S155" s="306"/>
      <c r="T155" s="276"/>
      <c r="U155" s="306"/>
      <c r="V155" s="8"/>
      <c r="W155" s="8"/>
      <c r="X155" s="8"/>
      <c r="Y155" s="8"/>
    </row>
    <row r="156" spans="1:25" ht="73.5" outlineLevel="2">
      <c r="A156" s="221"/>
      <c r="B156" s="221">
        <v>3</v>
      </c>
      <c r="C156" s="222" t="s">
        <v>266</v>
      </c>
      <c r="D156" s="307" t="s">
        <v>784</v>
      </c>
      <c r="E156" s="222"/>
      <c r="F156" s="221" t="s">
        <v>265</v>
      </c>
      <c r="G156" s="225">
        <v>59750.569839939002</v>
      </c>
      <c r="H156" s="225">
        <f t="shared" si="61"/>
        <v>4876726.5836533569</v>
      </c>
      <c r="I156" s="225">
        <f t="shared" si="62"/>
        <v>4876726.5836533569</v>
      </c>
      <c r="J156" s="197"/>
      <c r="K156" s="224">
        <f t="shared" si="69"/>
        <v>81.61807655922324</v>
      </c>
      <c r="L156" s="224">
        <f t="shared" si="55"/>
        <v>6.7391072388349462</v>
      </c>
      <c r="M156" s="224">
        <f t="shared" si="70"/>
        <v>74.878969320388293</v>
      </c>
      <c r="N156" s="282">
        <v>14</v>
      </c>
      <c r="O156" s="282">
        <f>0.12*调差材料基价表!$E$12</f>
        <v>47.766990291262083</v>
      </c>
      <c r="P156" s="282">
        <f>(1/0.25)*2*0.222*一级钢综合/1000</f>
        <v>6.3048000000000002</v>
      </c>
      <c r="Q156" s="282">
        <v>0</v>
      </c>
      <c r="R156" s="226">
        <v>0.1</v>
      </c>
      <c r="S156" s="227">
        <f>SUM(N156:Q156)*R156</f>
        <v>6.8071790291262095</v>
      </c>
      <c r="T156" s="349"/>
      <c r="U156" s="306"/>
      <c r="V156" s="8"/>
      <c r="W156" s="8"/>
      <c r="X156" s="8"/>
      <c r="Y156" s="8"/>
    </row>
    <row r="157" spans="1:25" ht="52.5" outlineLevel="2">
      <c r="A157" s="221"/>
      <c r="B157" s="221">
        <v>3</v>
      </c>
      <c r="C157" s="222" t="s">
        <v>269</v>
      </c>
      <c r="D157" s="222" t="s">
        <v>786</v>
      </c>
      <c r="E157" s="222"/>
      <c r="F157" s="221" t="s">
        <v>265</v>
      </c>
      <c r="G157" s="225">
        <v>59750.569839939002</v>
      </c>
      <c r="H157" s="225">
        <f t="shared" si="61"/>
        <v>0</v>
      </c>
      <c r="I157" s="225">
        <f t="shared" si="62"/>
        <v>0</v>
      </c>
      <c r="J157" s="197"/>
      <c r="K157" s="224">
        <f t="shared" si="69"/>
        <v>0</v>
      </c>
      <c r="L157" s="224">
        <f t="shared" si="55"/>
        <v>0</v>
      </c>
      <c r="M157" s="224">
        <f t="shared" si="70"/>
        <v>0</v>
      </c>
      <c r="N157" s="282"/>
      <c r="O157" s="282"/>
      <c r="P157" s="282"/>
      <c r="Q157" s="282"/>
      <c r="R157" s="226">
        <v>0.1</v>
      </c>
      <c r="S157" s="227"/>
      <c r="T157" s="349"/>
      <c r="U157" s="306"/>
      <c r="V157" s="8"/>
      <c r="W157" s="8"/>
      <c r="X157" s="8"/>
      <c r="Y157" s="8"/>
    </row>
    <row r="158" spans="1:25" ht="52.5" outlineLevel="2">
      <c r="A158" s="221"/>
      <c r="B158" s="221">
        <v>4</v>
      </c>
      <c r="C158" s="222">
        <v>2.1</v>
      </c>
      <c r="D158" s="222" t="s">
        <v>787</v>
      </c>
      <c r="E158" s="222"/>
      <c r="F158" s="221" t="s">
        <v>265</v>
      </c>
      <c r="G158" s="225">
        <v>59750.569839939002</v>
      </c>
      <c r="H158" s="225">
        <f t="shared" si="61"/>
        <v>1329584.6398778022</v>
      </c>
      <c r="I158" s="225">
        <f t="shared" si="62"/>
        <v>1329584.6398778022</v>
      </c>
      <c r="J158" s="197"/>
      <c r="K158" s="224">
        <f t="shared" ref="K158:K163" si="72">L158+M158</f>
        <v>22.252250370825244</v>
      </c>
      <c r="L158" s="224">
        <f t="shared" si="55"/>
        <v>1.8373417737378641</v>
      </c>
      <c r="M158" s="224">
        <f t="shared" ref="M158:M163" si="73">N158+O158+P158+Q158+S158</f>
        <v>20.414908597087379</v>
      </c>
      <c r="N158" s="282">
        <v>12</v>
      </c>
      <c r="O158" s="282">
        <f>7.745*调差材料基价表!$E$63/1000+0.0203*调差材料基价表!$E$64+0.2</f>
        <v>6.5590078155339793</v>
      </c>
      <c r="P158" s="282"/>
      <c r="Q158" s="282">
        <v>0</v>
      </c>
      <c r="R158" s="226">
        <v>0.1</v>
      </c>
      <c r="S158" s="227">
        <f t="shared" ref="S158:S163" si="74">SUM(N158:Q158)*R158</f>
        <v>1.8559007815533981</v>
      </c>
      <c r="T158" s="348" t="s">
        <v>514</v>
      </c>
      <c r="U158" s="248"/>
      <c r="V158" s="8"/>
      <c r="W158" s="8"/>
      <c r="X158" s="8"/>
      <c r="Y158" s="8"/>
    </row>
    <row r="159" spans="1:25" ht="42" outlineLevel="2">
      <c r="A159" s="221"/>
      <c r="B159" s="221">
        <v>4</v>
      </c>
      <c r="C159" s="222">
        <v>2.2000000000000002</v>
      </c>
      <c r="D159" s="222" t="s">
        <v>788</v>
      </c>
      <c r="E159" s="222"/>
      <c r="F159" s="221" t="s">
        <v>265</v>
      </c>
      <c r="G159" s="225">
        <v>0</v>
      </c>
      <c r="H159" s="225">
        <f t="shared" si="61"/>
        <v>0</v>
      </c>
      <c r="I159" s="225">
        <f t="shared" si="62"/>
        <v>0</v>
      </c>
      <c r="J159" s="197"/>
      <c r="K159" s="224">
        <f t="shared" si="72"/>
        <v>0</v>
      </c>
      <c r="L159" s="224">
        <f t="shared" si="55"/>
        <v>0</v>
      </c>
      <c r="M159" s="224">
        <f t="shared" si="73"/>
        <v>0</v>
      </c>
      <c r="N159" s="356"/>
      <c r="O159" s="356"/>
      <c r="P159" s="356"/>
      <c r="Q159" s="356"/>
      <c r="R159" s="226">
        <v>0.1</v>
      </c>
      <c r="S159" s="227">
        <f t="shared" si="74"/>
        <v>0</v>
      </c>
      <c r="T159" s="276" t="s">
        <v>789</v>
      </c>
      <c r="U159" s="306"/>
      <c r="V159" s="8"/>
      <c r="W159" s="8"/>
      <c r="X159" s="8"/>
      <c r="Y159" s="8"/>
    </row>
    <row r="160" spans="1:25" ht="42" outlineLevel="2">
      <c r="A160" s="221"/>
      <c r="B160" s="221">
        <v>4</v>
      </c>
      <c r="C160" s="222">
        <v>2.2999999999999998</v>
      </c>
      <c r="D160" s="222" t="s">
        <v>790</v>
      </c>
      <c r="E160" s="222"/>
      <c r="F160" s="221" t="s">
        <v>162</v>
      </c>
      <c r="G160" s="225">
        <v>0</v>
      </c>
      <c r="H160" s="225">
        <f t="shared" si="61"/>
        <v>0</v>
      </c>
      <c r="I160" s="225">
        <f t="shared" si="62"/>
        <v>0</v>
      </c>
      <c r="J160" s="197"/>
      <c r="K160" s="224">
        <f t="shared" si="72"/>
        <v>22.936986407766987</v>
      </c>
      <c r="L160" s="224">
        <f t="shared" si="55"/>
        <v>1.893879611650485</v>
      </c>
      <c r="M160" s="224">
        <f t="shared" si="73"/>
        <v>21.043106796116501</v>
      </c>
      <c r="N160" s="282">
        <v>12</v>
      </c>
      <c r="O160" s="282">
        <f>0.0153*调差材料基价表!$E$49</f>
        <v>7.1300970873786378</v>
      </c>
      <c r="P160" s="282"/>
      <c r="Q160" s="282">
        <v>0</v>
      </c>
      <c r="R160" s="226">
        <v>0.1</v>
      </c>
      <c r="S160" s="227">
        <f t="shared" si="74"/>
        <v>1.9130097087378637</v>
      </c>
      <c r="T160" s="276" t="s">
        <v>789</v>
      </c>
      <c r="U160" s="306"/>
      <c r="V160" s="8"/>
      <c r="W160" s="8"/>
      <c r="X160" s="8"/>
      <c r="Y160" s="8"/>
    </row>
    <row r="161" spans="1:25" ht="73.5" outlineLevel="2">
      <c r="A161" s="221"/>
      <c r="B161" s="221">
        <v>3</v>
      </c>
      <c r="C161" s="222" t="s">
        <v>275</v>
      </c>
      <c r="D161" s="222" t="s">
        <v>796</v>
      </c>
      <c r="E161" s="222"/>
      <c r="F161" s="221" t="s">
        <v>265</v>
      </c>
      <c r="G161" s="225">
        <v>59750.569839939002</v>
      </c>
      <c r="H161" s="225">
        <f t="shared" si="61"/>
        <v>1289536.7982855635</v>
      </c>
      <c r="I161" s="225">
        <f t="shared" si="62"/>
        <v>1289536.7982855635</v>
      </c>
      <c r="J161" s="197"/>
      <c r="K161" s="224">
        <f t="shared" si="72"/>
        <v>21.582000000000001</v>
      </c>
      <c r="L161" s="224">
        <f t="shared" si="55"/>
        <v>1.782</v>
      </c>
      <c r="M161" s="224">
        <f t="shared" si="73"/>
        <v>19.8</v>
      </c>
      <c r="N161" s="282">
        <v>12</v>
      </c>
      <c r="O161" s="282">
        <v>5</v>
      </c>
      <c r="P161" s="282">
        <v>1</v>
      </c>
      <c r="Q161" s="282">
        <v>0</v>
      </c>
      <c r="R161" s="226">
        <v>0.1</v>
      </c>
      <c r="S161" s="227">
        <f t="shared" si="74"/>
        <v>1.8</v>
      </c>
      <c r="T161" s="349"/>
      <c r="U161" s="306"/>
      <c r="V161" s="8"/>
      <c r="W161" s="8"/>
      <c r="X161" s="8"/>
      <c r="Y161" s="8"/>
    </row>
    <row r="162" spans="1:25" ht="52.5" outlineLevel="2">
      <c r="A162" s="221"/>
      <c r="B162" s="221">
        <v>3</v>
      </c>
      <c r="C162" s="222" t="s">
        <v>278</v>
      </c>
      <c r="D162" s="222" t="s">
        <v>2021</v>
      </c>
      <c r="E162" s="222" t="s">
        <v>482</v>
      </c>
      <c r="F162" s="221" t="s">
        <v>162</v>
      </c>
      <c r="G162" s="225">
        <v>1792.51709519817</v>
      </c>
      <c r="H162" s="225">
        <f t="shared" si="61"/>
        <v>1191746.9244155749</v>
      </c>
      <c r="I162" s="225">
        <f t="shared" si="62"/>
        <v>1191746.9244155749</v>
      </c>
      <c r="J162" s="197"/>
      <c r="K162" s="224">
        <f t="shared" si="72"/>
        <v>664.84550000000002</v>
      </c>
      <c r="L162" s="224">
        <f t="shared" si="55"/>
        <v>54.895500000000006</v>
      </c>
      <c r="M162" s="224">
        <f t="shared" si="73"/>
        <v>609.95000000000005</v>
      </c>
      <c r="N162" s="221">
        <v>50</v>
      </c>
      <c r="O162" s="221">
        <f>500</f>
        <v>500</v>
      </c>
      <c r="P162" s="282">
        <v>3</v>
      </c>
      <c r="Q162" s="282">
        <v>1.5</v>
      </c>
      <c r="R162" s="226">
        <v>0.1</v>
      </c>
      <c r="S162" s="227">
        <f t="shared" si="74"/>
        <v>55.45</v>
      </c>
      <c r="T162" s="349"/>
      <c r="U162" s="355"/>
      <c r="V162" s="8"/>
      <c r="W162" s="8"/>
      <c r="X162" s="8"/>
      <c r="Y162" s="8"/>
    </row>
    <row r="163" spans="1:25" ht="42" outlineLevel="2">
      <c r="A163" s="221"/>
      <c r="B163" s="221">
        <v>3</v>
      </c>
      <c r="C163" s="222" t="s">
        <v>308</v>
      </c>
      <c r="D163" s="222" t="s">
        <v>797</v>
      </c>
      <c r="E163" s="222"/>
      <c r="F163" s="221" t="s">
        <v>265</v>
      </c>
      <c r="G163" s="225">
        <v>59750.569839939002</v>
      </c>
      <c r="H163" s="225">
        <f t="shared" si="61"/>
        <v>2023195.5980868635</v>
      </c>
      <c r="I163" s="225">
        <f t="shared" si="62"/>
        <v>2023195.5980868635</v>
      </c>
      <c r="J163" s="197"/>
      <c r="K163" s="224">
        <f t="shared" si="72"/>
        <v>33.860691262135902</v>
      </c>
      <c r="L163" s="224">
        <f t="shared" si="55"/>
        <v>2.7958368932038815</v>
      </c>
      <c r="M163" s="224">
        <f t="shared" si="73"/>
        <v>31.064854368932018</v>
      </c>
      <c r="N163" s="282">
        <v>12</v>
      </c>
      <c r="O163" s="282">
        <f>0.0408*调差材料基价表!E12</f>
        <v>16.240776699029109</v>
      </c>
      <c r="P163" s="282"/>
      <c r="Q163" s="282">
        <v>0</v>
      </c>
      <c r="R163" s="226">
        <v>0.1</v>
      </c>
      <c r="S163" s="227">
        <f t="shared" si="74"/>
        <v>2.8240776699029109</v>
      </c>
      <c r="T163" s="276" t="s">
        <v>281</v>
      </c>
      <c r="U163" s="248"/>
      <c r="V163" s="8"/>
      <c r="W163" s="8"/>
      <c r="X163" s="8"/>
      <c r="Y163" s="8"/>
    </row>
    <row r="164" spans="1:25" ht="52.5" outlineLevel="1">
      <c r="A164" s="221">
        <v>3</v>
      </c>
      <c r="B164" s="221">
        <v>2</v>
      </c>
      <c r="C164" s="222" t="s">
        <v>798</v>
      </c>
      <c r="D164" s="222" t="s">
        <v>263</v>
      </c>
      <c r="E164" s="222" t="s">
        <v>795</v>
      </c>
      <c r="F164" s="221" t="s">
        <v>265</v>
      </c>
      <c r="G164" s="225">
        <v>10968.469803734801</v>
      </c>
      <c r="H164" s="225">
        <f t="shared" si="61"/>
        <v>0</v>
      </c>
      <c r="I164" s="225">
        <f t="shared" si="62"/>
        <v>0</v>
      </c>
      <c r="J164" s="197"/>
      <c r="K164" s="224"/>
      <c r="L164" s="224">
        <f t="shared" si="55"/>
        <v>0</v>
      </c>
      <c r="M164" s="224"/>
      <c r="N164" s="305"/>
      <c r="O164" s="305"/>
      <c r="P164" s="305"/>
      <c r="Q164" s="305"/>
      <c r="R164" s="226">
        <v>0.1</v>
      </c>
      <c r="S164" s="306"/>
      <c r="T164" s="276"/>
      <c r="U164" s="306"/>
      <c r="V164" s="8"/>
      <c r="W164" s="8"/>
      <c r="X164" s="8"/>
      <c r="Y164" s="8"/>
    </row>
    <row r="165" spans="1:25" ht="73.5" outlineLevel="2">
      <c r="A165" s="221"/>
      <c r="B165" s="221">
        <v>3</v>
      </c>
      <c r="C165" s="222" t="s">
        <v>266</v>
      </c>
      <c r="D165" s="307" t="s">
        <v>784</v>
      </c>
      <c r="E165" s="222"/>
      <c r="F165" s="221" t="s">
        <v>265</v>
      </c>
      <c r="G165" s="225">
        <v>10968.469803734801</v>
      </c>
      <c r="H165" s="225">
        <f t="shared" si="61"/>
        <v>895225.40817875532</v>
      </c>
      <c r="I165" s="225">
        <f t="shared" si="62"/>
        <v>895225.40817875532</v>
      </c>
      <c r="J165" s="197"/>
      <c r="K165" s="224">
        <f t="shared" ref="K165:K175" si="75">L165+M165</f>
        <v>81.61807655922324</v>
      </c>
      <c r="L165" s="224">
        <f t="shared" si="55"/>
        <v>6.7391072388349462</v>
      </c>
      <c r="M165" s="224">
        <f t="shared" ref="M165:M175" si="76">N165+O165+P165+Q165+S165</f>
        <v>74.878969320388293</v>
      </c>
      <c r="N165" s="282">
        <v>14</v>
      </c>
      <c r="O165" s="282">
        <f>0.12*调差材料基价表!$E$12</f>
        <v>47.766990291262083</v>
      </c>
      <c r="P165" s="282">
        <f>(1/0.25)*2*0.222*一级钢综合/1000</f>
        <v>6.3048000000000002</v>
      </c>
      <c r="Q165" s="282">
        <v>0</v>
      </c>
      <c r="R165" s="226">
        <v>0.1</v>
      </c>
      <c r="S165" s="227">
        <f t="shared" ref="S165:S175" si="77">SUM(N165:Q165)*R165</f>
        <v>6.8071790291262095</v>
      </c>
      <c r="T165" s="349" t="s">
        <v>253</v>
      </c>
      <c r="U165" s="306"/>
      <c r="V165" s="8"/>
      <c r="W165" s="8"/>
      <c r="X165" s="8"/>
      <c r="Y165" s="8"/>
    </row>
    <row r="166" spans="1:25" ht="52.5" outlineLevel="2">
      <c r="A166" s="221"/>
      <c r="B166" s="221">
        <v>3</v>
      </c>
      <c r="C166" s="222" t="s">
        <v>269</v>
      </c>
      <c r="D166" s="222" t="s">
        <v>786</v>
      </c>
      <c r="E166" s="222"/>
      <c r="F166" s="221" t="s">
        <v>265</v>
      </c>
      <c r="G166" s="225">
        <v>10968.469803734801</v>
      </c>
      <c r="H166" s="225">
        <f t="shared" si="61"/>
        <v>0</v>
      </c>
      <c r="I166" s="225">
        <f t="shared" si="62"/>
        <v>0</v>
      </c>
      <c r="J166" s="197"/>
      <c r="K166" s="224"/>
      <c r="L166" s="224">
        <f t="shared" si="55"/>
        <v>0</v>
      </c>
      <c r="M166" s="224"/>
      <c r="N166" s="282"/>
      <c r="O166" s="282"/>
      <c r="P166" s="282"/>
      <c r="Q166" s="282"/>
      <c r="R166" s="226">
        <v>0.1</v>
      </c>
      <c r="S166" s="227"/>
      <c r="T166" s="349"/>
      <c r="U166" s="306"/>
      <c r="V166" s="8"/>
      <c r="W166" s="8"/>
      <c r="X166" s="8"/>
      <c r="Y166" s="8"/>
    </row>
    <row r="167" spans="1:25" ht="52.5" outlineLevel="2">
      <c r="A167" s="221"/>
      <c r="B167" s="221">
        <v>4</v>
      </c>
      <c r="C167" s="222">
        <v>2.1</v>
      </c>
      <c r="D167" s="222" t="s">
        <v>787</v>
      </c>
      <c r="E167" s="222"/>
      <c r="F167" s="221" t="s">
        <v>265</v>
      </c>
      <c r="G167" s="225">
        <v>10968.469803734801</v>
      </c>
      <c r="H167" s="225">
        <f t="shared" si="61"/>
        <v>244073.13625754323</v>
      </c>
      <c r="I167" s="225">
        <f t="shared" si="62"/>
        <v>244073.13625754323</v>
      </c>
      <c r="J167" s="197"/>
      <c r="K167" s="224">
        <f t="shared" si="75"/>
        <v>22.252250370825244</v>
      </c>
      <c r="L167" s="224">
        <f t="shared" si="55"/>
        <v>1.8373417737378641</v>
      </c>
      <c r="M167" s="224">
        <f t="shared" si="76"/>
        <v>20.414908597087379</v>
      </c>
      <c r="N167" s="282">
        <v>12</v>
      </c>
      <c r="O167" s="282">
        <f>7.745*调差材料基价表!$E$63/1000+0.0203*调差材料基价表!$E$64+0.2</f>
        <v>6.5590078155339793</v>
      </c>
      <c r="P167" s="282"/>
      <c r="Q167" s="282">
        <v>0</v>
      </c>
      <c r="R167" s="226">
        <v>0.1</v>
      </c>
      <c r="S167" s="227">
        <f t="shared" si="77"/>
        <v>1.8559007815533981</v>
      </c>
      <c r="T167" s="348" t="s">
        <v>514</v>
      </c>
      <c r="U167" s="248"/>
      <c r="V167" s="8"/>
      <c r="W167" s="8"/>
      <c r="X167" s="8"/>
      <c r="Y167" s="8"/>
    </row>
    <row r="168" spans="1:25" ht="42" outlineLevel="2">
      <c r="A168" s="221"/>
      <c r="B168" s="221">
        <v>4</v>
      </c>
      <c r="C168" s="222">
        <v>2.2000000000000002</v>
      </c>
      <c r="D168" s="222" t="s">
        <v>788</v>
      </c>
      <c r="E168" s="222"/>
      <c r="F168" s="221" t="s">
        <v>265</v>
      </c>
      <c r="G168" s="225">
        <v>0</v>
      </c>
      <c r="H168" s="225">
        <f t="shared" si="61"/>
        <v>0</v>
      </c>
      <c r="I168" s="225">
        <f t="shared" si="62"/>
        <v>0</v>
      </c>
      <c r="J168" s="197"/>
      <c r="K168" s="224">
        <f t="shared" si="75"/>
        <v>0</v>
      </c>
      <c r="L168" s="224">
        <f t="shared" si="55"/>
        <v>0</v>
      </c>
      <c r="M168" s="224">
        <f t="shared" si="76"/>
        <v>0</v>
      </c>
      <c r="N168" s="356"/>
      <c r="O168" s="356"/>
      <c r="P168" s="356"/>
      <c r="Q168" s="356"/>
      <c r="R168" s="226">
        <v>0.1</v>
      </c>
      <c r="S168" s="227">
        <f t="shared" si="77"/>
        <v>0</v>
      </c>
      <c r="T168" s="276" t="s">
        <v>789</v>
      </c>
      <c r="U168" s="306"/>
      <c r="V168" s="8"/>
      <c r="W168" s="8"/>
      <c r="X168" s="8"/>
      <c r="Y168" s="8"/>
    </row>
    <row r="169" spans="1:25" ht="42" outlineLevel="2">
      <c r="A169" s="221"/>
      <c r="B169" s="221">
        <v>4</v>
      </c>
      <c r="C169" s="222">
        <v>2.2999999999999998</v>
      </c>
      <c r="D169" s="222" t="s">
        <v>790</v>
      </c>
      <c r="E169" s="222"/>
      <c r="F169" s="221" t="s">
        <v>265</v>
      </c>
      <c r="G169" s="225">
        <v>0</v>
      </c>
      <c r="H169" s="225">
        <f t="shared" si="61"/>
        <v>0</v>
      </c>
      <c r="I169" s="225">
        <f t="shared" si="62"/>
        <v>0</v>
      </c>
      <c r="J169" s="197"/>
      <c r="K169" s="224">
        <f t="shared" si="75"/>
        <v>22.936986407766987</v>
      </c>
      <c r="L169" s="224">
        <f t="shared" si="55"/>
        <v>1.893879611650485</v>
      </c>
      <c r="M169" s="224">
        <f t="shared" si="76"/>
        <v>21.043106796116501</v>
      </c>
      <c r="N169" s="282">
        <v>12</v>
      </c>
      <c r="O169" s="282">
        <f>0.0153*调差材料基价表!$E$49</f>
        <v>7.1300970873786378</v>
      </c>
      <c r="P169" s="282"/>
      <c r="Q169" s="282">
        <v>0</v>
      </c>
      <c r="R169" s="226">
        <v>0.1</v>
      </c>
      <c r="S169" s="227">
        <f t="shared" si="77"/>
        <v>1.9130097087378637</v>
      </c>
      <c r="T169" s="276" t="s">
        <v>789</v>
      </c>
      <c r="U169" s="306"/>
      <c r="V169" s="8"/>
      <c r="W169" s="8"/>
      <c r="X169" s="8"/>
      <c r="Y169" s="8"/>
    </row>
    <row r="170" spans="1:25" ht="73.5" outlineLevel="2">
      <c r="A170" s="221"/>
      <c r="B170" s="221">
        <v>3</v>
      </c>
      <c r="C170" s="222" t="s">
        <v>275</v>
      </c>
      <c r="D170" s="222" t="s">
        <v>799</v>
      </c>
      <c r="E170" s="222"/>
      <c r="F170" s="221" t="s">
        <v>265</v>
      </c>
      <c r="G170" s="225">
        <v>10968.469803734801</v>
      </c>
      <c r="H170" s="225">
        <f t="shared" si="61"/>
        <v>236721.51530420448</v>
      </c>
      <c r="I170" s="225">
        <f t="shared" si="62"/>
        <v>236721.51530420448</v>
      </c>
      <c r="J170" s="197"/>
      <c r="K170" s="224">
        <f t="shared" si="75"/>
        <v>21.582000000000001</v>
      </c>
      <c r="L170" s="224">
        <f t="shared" si="55"/>
        <v>1.782</v>
      </c>
      <c r="M170" s="224">
        <f t="shared" si="76"/>
        <v>19.8</v>
      </c>
      <c r="N170" s="282">
        <v>12</v>
      </c>
      <c r="O170" s="282">
        <v>5</v>
      </c>
      <c r="P170" s="282">
        <v>1</v>
      </c>
      <c r="Q170" s="282">
        <v>0</v>
      </c>
      <c r="R170" s="226">
        <v>0.1</v>
      </c>
      <c r="S170" s="227">
        <f t="shared" si="77"/>
        <v>1.8</v>
      </c>
      <c r="T170" s="276"/>
      <c r="U170" s="306"/>
      <c r="V170" s="8"/>
      <c r="W170" s="8"/>
      <c r="X170" s="8"/>
      <c r="Y170" s="8"/>
    </row>
    <row r="171" spans="1:25" ht="42" outlineLevel="2">
      <c r="A171" s="221"/>
      <c r="B171" s="221">
        <v>3</v>
      </c>
      <c r="C171" s="222" t="s">
        <v>278</v>
      </c>
      <c r="D171" s="222" t="s">
        <v>797</v>
      </c>
      <c r="E171" s="222"/>
      <c r="F171" s="221" t="s">
        <v>162</v>
      </c>
      <c r="G171" s="225">
        <v>10968.469803734801</v>
      </c>
      <c r="H171" s="225">
        <f t="shared" si="61"/>
        <v>371399.96964232443</v>
      </c>
      <c r="I171" s="225">
        <f t="shared" si="62"/>
        <v>371399.96964232443</v>
      </c>
      <c r="J171" s="197"/>
      <c r="K171" s="224">
        <f t="shared" si="75"/>
        <v>33.860691262135902</v>
      </c>
      <c r="L171" s="224">
        <f t="shared" si="55"/>
        <v>2.7958368932038815</v>
      </c>
      <c r="M171" s="224">
        <f t="shared" si="76"/>
        <v>31.064854368932018</v>
      </c>
      <c r="N171" s="282">
        <v>12</v>
      </c>
      <c r="O171" s="282">
        <f>0.0408*调差材料基价表!E12</f>
        <v>16.240776699029109</v>
      </c>
      <c r="P171" s="282"/>
      <c r="Q171" s="282">
        <v>0</v>
      </c>
      <c r="R171" s="226">
        <v>0.1</v>
      </c>
      <c r="S171" s="227">
        <f t="shared" si="77"/>
        <v>2.8240776699029109</v>
      </c>
      <c r="T171" s="276" t="s">
        <v>281</v>
      </c>
      <c r="U171" s="306"/>
      <c r="V171" s="8"/>
      <c r="W171" s="8"/>
      <c r="X171" s="8"/>
      <c r="Y171" s="8"/>
    </row>
    <row r="172" spans="1:25" ht="52.5" outlineLevel="1">
      <c r="A172" s="221"/>
      <c r="B172" s="221">
        <v>2</v>
      </c>
      <c r="C172" s="222" t="s">
        <v>800</v>
      </c>
      <c r="D172" s="222" t="s">
        <v>263</v>
      </c>
      <c r="E172" s="222"/>
      <c r="F172" s="221" t="s">
        <v>265</v>
      </c>
      <c r="G172" s="225">
        <v>0</v>
      </c>
      <c r="H172" s="225"/>
      <c r="I172" s="225"/>
      <c r="J172" s="197"/>
      <c r="K172" s="224"/>
      <c r="L172" s="224"/>
      <c r="M172" s="224"/>
      <c r="N172" s="282"/>
      <c r="O172" s="282"/>
      <c r="P172" s="282"/>
      <c r="Q172" s="282"/>
      <c r="R172" s="226"/>
      <c r="S172" s="227"/>
      <c r="T172" s="276"/>
      <c r="U172" s="306"/>
      <c r="V172" s="8"/>
      <c r="W172" s="8"/>
      <c r="X172" s="8"/>
      <c r="Y172" s="8"/>
    </row>
    <row r="173" spans="1:25" ht="31.5" outlineLevel="2">
      <c r="A173" s="221"/>
      <c r="B173" s="221">
        <v>3</v>
      </c>
      <c r="C173" s="222" t="s">
        <v>266</v>
      </c>
      <c r="D173" s="222" t="s">
        <v>801</v>
      </c>
      <c r="E173" s="222"/>
      <c r="F173" s="221" t="s">
        <v>265</v>
      </c>
      <c r="G173" s="225">
        <v>0</v>
      </c>
      <c r="H173" s="225">
        <f t="shared" si="61"/>
        <v>0</v>
      </c>
      <c r="I173" s="225">
        <f t="shared" si="62"/>
        <v>0</v>
      </c>
      <c r="J173" s="197"/>
      <c r="K173" s="224">
        <f t="shared" si="75"/>
        <v>17.3855</v>
      </c>
      <c r="L173" s="224">
        <f t="shared" si="55"/>
        <v>1.4354999999999998</v>
      </c>
      <c r="M173" s="224">
        <f t="shared" si="76"/>
        <v>15.95</v>
      </c>
      <c r="N173" s="282">
        <v>8.5</v>
      </c>
      <c r="O173" s="282">
        <v>5</v>
      </c>
      <c r="P173" s="282">
        <v>1</v>
      </c>
      <c r="Q173" s="282">
        <v>0</v>
      </c>
      <c r="R173" s="226">
        <v>0.1</v>
      </c>
      <c r="S173" s="227">
        <f t="shared" si="77"/>
        <v>1.4500000000000002</v>
      </c>
      <c r="T173" s="349"/>
      <c r="U173" s="306"/>
      <c r="V173" s="8"/>
      <c r="W173" s="8"/>
      <c r="X173" s="8"/>
      <c r="Y173" s="8"/>
    </row>
    <row r="174" spans="1:25" ht="31.5" outlineLevel="2">
      <c r="A174" s="221"/>
      <c r="B174" s="221">
        <v>3</v>
      </c>
      <c r="C174" s="222" t="s">
        <v>269</v>
      </c>
      <c r="D174" s="222" t="s">
        <v>802</v>
      </c>
      <c r="E174" s="222"/>
      <c r="F174" s="221" t="s">
        <v>265</v>
      </c>
      <c r="G174" s="225">
        <v>0</v>
      </c>
      <c r="H174" s="225">
        <f t="shared" si="61"/>
        <v>0</v>
      </c>
      <c r="I174" s="225">
        <f t="shared" si="62"/>
        <v>0</v>
      </c>
      <c r="J174" s="197"/>
      <c r="K174" s="224">
        <f t="shared" si="75"/>
        <v>16.186499999999999</v>
      </c>
      <c r="L174" s="224">
        <f t="shared" si="55"/>
        <v>1.3365</v>
      </c>
      <c r="M174" s="224">
        <f t="shared" si="76"/>
        <v>14.85</v>
      </c>
      <c r="N174" s="282">
        <v>12</v>
      </c>
      <c r="O174" s="356"/>
      <c r="P174" s="282">
        <v>1.5</v>
      </c>
      <c r="Q174" s="356"/>
      <c r="R174" s="226">
        <v>0.1</v>
      </c>
      <c r="S174" s="227">
        <f t="shared" si="77"/>
        <v>1.35</v>
      </c>
      <c r="T174" s="349"/>
      <c r="U174" s="306"/>
      <c r="V174" s="8"/>
      <c r="W174" s="8"/>
      <c r="X174" s="8"/>
      <c r="Y174" s="8"/>
    </row>
    <row r="175" spans="1:25" ht="73.5" outlineLevel="2">
      <c r="A175" s="221"/>
      <c r="B175" s="221">
        <v>3</v>
      </c>
      <c r="C175" s="222" t="s">
        <v>275</v>
      </c>
      <c r="D175" s="222" t="s">
        <v>803</v>
      </c>
      <c r="E175" s="222"/>
      <c r="F175" s="221" t="s">
        <v>265</v>
      </c>
      <c r="G175" s="225">
        <v>0</v>
      </c>
      <c r="H175" s="225">
        <f t="shared" si="61"/>
        <v>0</v>
      </c>
      <c r="I175" s="225">
        <f t="shared" si="62"/>
        <v>0</v>
      </c>
      <c r="J175" s="197"/>
      <c r="K175" s="224">
        <f t="shared" si="75"/>
        <v>33.860691262135902</v>
      </c>
      <c r="L175" s="224">
        <f t="shared" si="55"/>
        <v>2.7958368932038815</v>
      </c>
      <c r="M175" s="224">
        <f t="shared" si="76"/>
        <v>31.064854368932018</v>
      </c>
      <c r="N175" s="282">
        <v>12</v>
      </c>
      <c r="O175" s="282">
        <f>0.0408*调差材料基价表!E12</f>
        <v>16.240776699029109</v>
      </c>
      <c r="P175" s="282"/>
      <c r="Q175" s="282">
        <v>0</v>
      </c>
      <c r="R175" s="226">
        <v>0.1</v>
      </c>
      <c r="S175" s="227">
        <f t="shared" si="77"/>
        <v>2.8240776699029109</v>
      </c>
      <c r="T175" s="276" t="s">
        <v>281</v>
      </c>
      <c r="U175" s="248"/>
      <c r="V175" s="8"/>
      <c r="W175" s="8"/>
      <c r="X175" s="8"/>
      <c r="Y175" s="8"/>
    </row>
    <row r="176" spans="1:25" ht="52.5" outlineLevel="1">
      <c r="A176" s="221">
        <v>4</v>
      </c>
      <c r="B176" s="221">
        <v>2</v>
      </c>
      <c r="C176" s="222" t="s">
        <v>804</v>
      </c>
      <c r="D176" s="222" t="s">
        <v>263</v>
      </c>
      <c r="E176" s="222" t="s">
        <v>795</v>
      </c>
      <c r="F176" s="221" t="s">
        <v>265</v>
      </c>
      <c r="G176" s="225">
        <v>0</v>
      </c>
      <c r="H176" s="225">
        <f t="shared" si="61"/>
        <v>0</v>
      </c>
      <c r="I176" s="225">
        <f t="shared" si="62"/>
        <v>0</v>
      </c>
      <c r="J176" s="197"/>
      <c r="K176" s="224"/>
      <c r="L176" s="224">
        <f t="shared" si="55"/>
        <v>0</v>
      </c>
      <c r="M176" s="224"/>
      <c r="N176" s="305"/>
      <c r="O176" s="305"/>
      <c r="P176" s="305"/>
      <c r="Q176" s="305"/>
      <c r="R176" s="226">
        <v>0.1</v>
      </c>
      <c r="S176" s="306"/>
      <c r="T176" s="276"/>
      <c r="U176" s="306"/>
      <c r="V176" s="8"/>
      <c r="W176" s="8"/>
      <c r="X176" s="8"/>
      <c r="Y176" s="8"/>
    </row>
    <row r="177" spans="1:25" ht="73.5" outlineLevel="2">
      <c r="A177" s="221"/>
      <c r="B177" s="221">
        <v>3</v>
      </c>
      <c r="C177" s="222" t="s">
        <v>266</v>
      </c>
      <c r="D177" s="222" t="s">
        <v>784</v>
      </c>
      <c r="E177" s="222"/>
      <c r="F177" s="221" t="s">
        <v>265</v>
      </c>
      <c r="G177" s="225">
        <v>0</v>
      </c>
      <c r="H177" s="225">
        <f t="shared" si="61"/>
        <v>0</v>
      </c>
      <c r="I177" s="225">
        <f t="shared" si="62"/>
        <v>0</v>
      </c>
      <c r="J177" s="197"/>
      <c r="K177" s="224">
        <f t="shared" ref="K177" si="78">L177+M177</f>
        <v>81.61807655922324</v>
      </c>
      <c r="L177" s="224">
        <f t="shared" si="55"/>
        <v>6.7391072388349462</v>
      </c>
      <c r="M177" s="224">
        <f t="shared" ref="M177" si="79">N177+O177+P177+Q177+S177</f>
        <v>74.878969320388293</v>
      </c>
      <c r="N177" s="282">
        <f>N165</f>
        <v>14</v>
      </c>
      <c r="O177" s="282">
        <f>0.12*调差材料基价表!$E$12</f>
        <v>47.766990291262083</v>
      </c>
      <c r="P177" s="282">
        <f>P165</f>
        <v>6.3048000000000002</v>
      </c>
      <c r="Q177" s="282">
        <v>0</v>
      </c>
      <c r="R177" s="226">
        <v>0.1</v>
      </c>
      <c r="S177" s="227">
        <f t="shared" ref="S177" si="80">SUM(N177:Q177)*R177</f>
        <v>6.8071790291262095</v>
      </c>
      <c r="T177" s="349" t="s">
        <v>253</v>
      </c>
      <c r="U177" s="306"/>
      <c r="V177" s="8"/>
      <c r="W177" s="8"/>
      <c r="X177" s="8"/>
      <c r="Y177" s="8"/>
    </row>
    <row r="178" spans="1:25" ht="31.5" outlineLevel="2">
      <c r="A178" s="221"/>
      <c r="B178" s="221">
        <v>3</v>
      </c>
      <c r="C178" s="222" t="s">
        <v>269</v>
      </c>
      <c r="D178" s="222" t="s">
        <v>805</v>
      </c>
      <c r="E178" s="222"/>
      <c r="F178" s="221" t="s">
        <v>265</v>
      </c>
      <c r="G178" s="225">
        <v>0</v>
      </c>
      <c r="H178" s="225">
        <f t="shared" si="61"/>
        <v>0</v>
      </c>
      <c r="I178" s="225">
        <f t="shared" si="62"/>
        <v>0</v>
      </c>
      <c r="J178" s="197"/>
      <c r="K178" s="224"/>
      <c r="L178" s="224">
        <f t="shared" si="55"/>
        <v>0</v>
      </c>
      <c r="M178" s="224"/>
      <c r="N178" s="282"/>
      <c r="O178" s="282"/>
      <c r="P178" s="282"/>
      <c r="Q178" s="282"/>
      <c r="R178" s="226">
        <v>0.1</v>
      </c>
      <c r="S178" s="227"/>
      <c r="T178" s="349"/>
      <c r="U178" s="306"/>
      <c r="V178" s="8"/>
      <c r="W178" s="8"/>
      <c r="X178" s="8"/>
      <c r="Y178" s="8"/>
    </row>
    <row r="179" spans="1:25" ht="52.5" outlineLevel="2">
      <c r="A179" s="221"/>
      <c r="B179" s="221">
        <v>4</v>
      </c>
      <c r="C179" s="222">
        <v>2.1</v>
      </c>
      <c r="D179" s="222" t="s">
        <v>806</v>
      </c>
      <c r="E179" s="222"/>
      <c r="F179" s="221" t="s">
        <v>265</v>
      </c>
      <c r="G179" s="225">
        <v>0</v>
      </c>
      <c r="H179" s="225">
        <f t="shared" si="61"/>
        <v>0</v>
      </c>
      <c r="I179" s="225">
        <f t="shared" si="62"/>
        <v>0</v>
      </c>
      <c r="J179" s="197"/>
      <c r="K179" s="224">
        <f t="shared" ref="K179:K181" si="81">L179+M179</f>
        <v>22.252250370825244</v>
      </c>
      <c r="L179" s="224">
        <f t="shared" si="55"/>
        <v>1.8373417737378641</v>
      </c>
      <c r="M179" s="224">
        <f t="shared" ref="M179:M181" si="82">N179+O179+P179+Q179+S179</f>
        <v>20.414908597087379</v>
      </c>
      <c r="N179" s="282">
        <v>12</v>
      </c>
      <c r="O179" s="282">
        <f>7.745*调差材料基价表!$E$63/1000+0.0203*调差材料基价表!$E$64+0.2</f>
        <v>6.5590078155339793</v>
      </c>
      <c r="P179" s="282"/>
      <c r="Q179" s="282">
        <v>0</v>
      </c>
      <c r="R179" s="226">
        <v>0.1</v>
      </c>
      <c r="S179" s="227">
        <f t="shared" ref="S179:S181" si="83">SUM(N179:Q179)*R179</f>
        <v>1.8559007815533981</v>
      </c>
      <c r="T179" s="348" t="s">
        <v>514</v>
      </c>
      <c r="U179" s="248"/>
      <c r="V179" s="8"/>
      <c r="W179" s="8"/>
      <c r="X179" s="8"/>
      <c r="Y179" s="8"/>
    </row>
    <row r="180" spans="1:25" ht="31.5" outlineLevel="2">
      <c r="A180" s="221"/>
      <c r="B180" s="221">
        <v>4</v>
      </c>
      <c r="C180" s="222">
        <v>2.2000000000000002</v>
      </c>
      <c r="D180" s="222" t="s">
        <v>515</v>
      </c>
      <c r="E180" s="222"/>
      <c r="F180" s="221" t="s">
        <v>265</v>
      </c>
      <c r="G180" s="225">
        <v>0</v>
      </c>
      <c r="H180" s="225">
        <f t="shared" si="61"/>
        <v>0</v>
      </c>
      <c r="I180" s="225">
        <f t="shared" si="62"/>
        <v>0</v>
      </c>
      <c r="J180" s="197"/>
      <c r="K180" s="224">
        <f t="shared" si="81"/>
        <v>0</v>
      </c>
      <c r="L180" s="224">
        <f t="shared" si="55"/>
        <v>0</v>
      </c>
      <c r="M180" s="224">
        <f t="shared" si="82"/>
        <v>0</v>
      </c>
      <c r="N180" s="356"/>
      <c r="O180" s="356"/>
      <c r="P180" s="356"/>
      <c r="Q180" s="356"/>
      <c r="R180" s="226">
        <v>0.1</v>
      </c>
      <c r="S180" s="227">
        <f t="shared" si="83"/>
        <v>0</v>
      </c>
      <c r="T180" s="276" t="s">
        <v>789</v>
      </c>
      <c r="U180" s="306"/>
      <c r="V180" s="8"/>
      <c r="W180" s="8"/>
      <c r="X180" s="8"/>
      <c r="Y180" s="8"/>
    </row>
    <row r="181" spans="1:25" ht="73.5" outlineLevel="2">
      <c r="A181" s="221"/>
      <c r="B181" s="221">
        <v>3</v>
      </c>
      <c r="C181" s="222" t="s">
        <v>275</v>
      </c>
      <c r="D181" s="222" t="s">
        <v>807</v>
      </c>
      <c r="E181" s="222"/>
      <c r="F181" s="221" t="s">
        <v>265</v>
      </c>
      <c r="G181" s="225">
        <v>0</v>
      </c>
      <c r="H181" s="225">
        <f t="shared" si="61"/>
        <v>0</v>
      </c>
      <c r="I181" s="225">
        <f t="shared" si="62"/>
        <v>0</v>
      </c>
      <c r="J181" s="197"/>
      <c r="K181" s="224">
        <f t="shared" si="81"/>
        <v>22.1815</v>
      </c>
      <c r="L181" s="224">
        <f t="shared" si="55"/>
        <v>1.8315000000000001</v>
      </c>
      <c r="M181" s="224">
        <f t="shared" si="82"/>
        <v>20.350000000000001</v>
      </c>
      <c r="N181" s="282">
        <v>12</v>
      </c>
      <c r="O181" s="282">
        <v>5</v>
      </c>
      <c r="P181" s="282">
        <v>1.5</v>
      </c>
      <c r="Q181" s="282">
        <v>0</v>
      </c>
      <c r="R181" s="226">
        <v>0.1</v>
      </c>
      <c r="S181" s="227">
        <f t="shared" si="83"/>
        <v>1.85</v>
      </c>
      <c r="T181" s="349"/>
      <c r="U181" s="306"/>
      <c r="V181" s="8"/>
      <c r="W181" s="8"/>
      <c r="X181" s="8"/>
      <c r="Y181" s="8"/>
    </row>
    <row r="182" spans="1:25" ht="42" outlineLevel="2">
      <c r="A182" s="221"/>
      <c r="B182" s="221">
        <v>3</v>
      </c>
      <c r="C182" s="222" t="s">
        <v>278</v>
      </c>
      <c r="D182" s="222" t="s">
        <v>808</v>
      </c>
      <c r="E182" s="222"/>
      <c r="F182" s="221" t="s">
        <v>265</v>
      </c>
      <c r="G182" s="225">
        <v>0</v>
      </c>
      <c r="H182" s="225">
        <f t="shared" si="61"/>
        <v>0</v>
      </c>
      <c r="I182" s="225">
        <f t="shared" si="62"/>
        <v>0</v>
      </c>
      <c r="J182" s="197"/>
      <c r="K182" s="224"/>
      <c r="L182" s="224">
        <f t="shared" si="55"/>
        <v>0</v>
      </c>
      <c r="M182" s="224"/>
      <c r="N182" s="282"/>
      <c r="O182" s="282"/>
      <c r="P182" s="282"/>
      <c r="Q182" s="282"/>
      <c r="R182" s="226">
        <v>0.1</v>
      </c>
      <c r="S182" s="227"/>
      <c r="T182" s="349"/>
      <c r="U182" s="306"/>
      <c r="V182" s="8"/>
      <c r="W182" s="8"/>
      <c r="X182" s="8"/>
      <c r="Y182" s="8"/>
    </row>
    <row r="183" spans="1:25" ht="52.5" outlineLevel="2">
      <c r="A183" s="221"/>
      <c r="B183" s="221">
        <v>4</v>
      </c>
      <c r="C183" s="222">
        <v>4.0999999999999996</v>
      </c>
      <c r="D183" s="222" t="s">
        <v>809</v>
      </c>
      <c r="E183" s="222"/>
      <c r="F183" s="221" t="s">
        <v>265</v>
      </c>
      <c r="G183" s="225">
        <v>0</v>
      </c>
      <c r="H183" s="225">
        <f t="shared" si="61"/>
        <v>0</v>
      </c>
      <c r="I183" s="225">
        <f t="shared" si="62"/>
        <v>0</v>
      </c>
      <c r="J183" s="197"/>
      <c r="K183" s="224">
        <f t="shared" ref="K183:K186" si="84">L183+M183</f>
        <v>24.370767604348639</v>
      </c>
      <c r="L183" s="224">
        <f t="shared" si="55"/>
        <v>2.012265215037961</v>
      </c>
      <c r="M183" s="224">
        <f t="shared" ref="M183:M186" si="85">N183+O183+P183+Q183+S183</f>
        <v>22.358502389310679</v>
      </c>
      <c r="N183" s="282">
        <v>12</v>
      </c>
      <c r="O183" s="282">
        <f>9.67581*调差材料基价表!$E$63/1000+调差材料基价表!$E$64*0.0264+0.2</f>
        <v>8.3259112630097061</v>
      </c>
      <c r="P183" s="282"/>
      <c r="Q183" s="282">
        <v>0</v>
      </c>
      <c r="R183" s="226">
        <v>0.1</v>
      </c>
      <c r="S183" s="227">
        <f t="shared" ref="S183:S186" si="86">SUM(N183:Q183)*R183</f>
        <v>2.0325911263009711</v>
      </c>
      <c r="T183" s="222" t="s">
        <v>302</v>
      </c>
      <c r="U183" s="248"/>
      <c r="V183" s="8"/>
      <c r="W183" s="8"/>
      <c r="X183" s="8"/>
      <c r="Y183" s="8"/>
    </row>
    <row r="184" spans="1:25" ht="31.5" outlineLevel="2">
      <c r="A184" s="221"/>
      <c r="B184" s="221">
        <v>4</v>
      </c>
      <c r="C184" s="222">
        <v>4.2</v>
      </c>
      <c r="D184" s="222" t="s">
        <v>810</v>
      </c>
      <c r="E184" s="222"/>
      <c r="F184" s="221" t="s">
        <v>265</v>
      </c>
      <c r="G184" s="225">
        <v>0</v>
      </c>
      <c r="H184" s="225">
        <f t="shared" si="61"/>
        <v>0</v>
      </c>
      <c r="I184" s="225">
        <f t="shared" si="62"/>
        <v>0</v>
      </c>
      <c r="J184" s="197"/>
      <c r="K184" s="224">
        <f t="shared" si="84"/>
        <v>0</v>
      </c>
      <c r="L184" s="224">
        <f t="shared" si="55"/>
        <v>0</v>
      </c>
      <c r="M184" s="224">
        <f t="shared" si="85"/>
        <v>0</v>
      </c>
      <c r="N184" s="356"/>
      <c r="O184" s="356"/>
      <c r="P184" s="356"/>
      <c r="Q184" s="356"/>
      <c r="R184" s="226">
        <v>0.1</v>
      </c>
      <c r="S184" s="227">
        <f t="shared" si="86"/>
        <v>0</v>
      </c>
      <c r="T184" s="349"/>
      <c r="U184" s="306"/>
      <c r="V184" s="8"/>
      <c r="W184" s="8"/>
      <c r="X184" s="8"/>
      <c r="Y184" s="8"/>
    </row>
    <row r="185" spans="1:25" ht="31.5" outlineLevel="2">
      <c r="A185" s="221"/>
      <c r="B185" s="221">
        <v>3</v>
      </c>
      <c r="C185" s="222" t="s">
        <v>308</v>
      </c>
      <c r="D185" s="222" t="s">
        <v>811</v>
      </c>
      <c r="E185" s="222"/>
      <c r="F185" s="221" t="s">
        <v>265</v>
      </c>
      <c r="G185" s="225">
        <v>0</v>
      </c>
      <c r="H185" s="225">
        <f t="shared" si="61"/>
        <v>0</v>
      </c>
      <c r="I185" s="225">
        <f t="shared" si="62"/>
        <v>0</v>
      </c>
      <c r="J185" s="197"/>
      <c r="K185" s="224">
        <f t="shared" si="84"/>
        <v>22.675488000000001</v>
      </c>
      <c r="L185" s="224">
        <f t="shared" si="55"/>
        <v>1.872288</v>
      </c>
      <c r="M185" s="224">
        <f t="shared" si="85"/>
        <v>20.8032</v>
      </c>
      <c r="N185" s="221">
        <v>3</v>
      </c>
      <c r="O185" s="221">
        <v>15.912000000000001</v>
      </c>
      <c r="P185" s="282"/>
      <c r="Q185" s="221">
        <v>0</v>
      </c>
      <c r="R185" s="226">
        <v>0.1</v>
      </c>
      <c r="S185" s="227">
        <f t="shared" si="86"/>
        <v>1.8912</v>
      </c>
      <c r="T185" s="349"/>
      <c r="U185" s="306"/>
      <c r="V185" s="8"/>
      <c r="W185" s="8"/>
      <c r="X185" s="8"/>
      <c r="Y185" s="8"/>
    </row>
    <row r="186" spans="1:25" ht="21" outlineLevel="2">
      <c r="A186" s="221"/>
      <c r="B186" s="221">
        <v>3</v>
      </c>
      <c r="C186" s="222" t="s">
        <v>812</v>
      </c>
      <c r="D186" s="222" t="s">
        <v>769</v>
      </c>
      <c r="E186" s="222"/>
      <c r="F186" s="221" t="s">
        <v>265</v>
      </c>
      <c r="G186" s="225">
        <v>0</v>
      </c>
      <c r="H186" s="225">
        <f t="shared" si="61"/>
        <v>0</v>
      </c>
      <c r="I186" s="225">
        <f t="shared" si="62"/>
        <v>0</v>
      </c>
      <c r="J186" s="197"/>
      <c r="K186" s="224">
        <f t="shared" si="84"/>
        <v>3.179748</v>
      </c>
      <c r="L186" s="224">
        <f t="shared" si="55"/>
        <v>0.262548</v>
      </c>
      <c r="M186" s="224">
        <f t="shared" si="85"/>
        <v>2.9172000000000002</v>
      </c>
      <c r="N186" s="221">
        <v>0</v>
      </c>
      <c r="O186" s="221">
        <v>2.6520000000000001</v>
      </c>
      <c r="P186" s="221">
        <v>0</v>
      </c>
      <c r="Q186" s="221">
        <v>0</v>
      </c>
      <c r="R186" s="226">
        <v>0.1</v>
      </c>
      <c r="S186" s="227">
        <f t="shared" si="86"/>
        <v>0.26520000000000005</v>
      </c>
      <c r="T186" s="349"/>
      <c r="U186" s="306"/>
      <c r="V186" s="8"/>
      <c r="W186" s="8"/>
      <c r="X186" s="8"/>
      <c r="Y186" s="8"/>
    </row>
    <row r="187" spans="1:25" ht="42" outlineLevel="1">
      <c r="A187" s="221">
        <v>5</v>
      </c>
      <c r="B187" s="221">
        <v>2</v>
      </c>
      <c r="C187" s="222" t="s">
        <v>813</v>
      </c>
      <c r="D187" s="222" t="s">
        <v>263</v>
      </c>
      <c r="E187" s="222" t="s">
        <v>814</v>
      </c>
      <c r="F187" s="221" t="s">
        <v>265</v>
      </c>
      <c r="G187" s="225">
        <v>0</v>
      </c>
      <c r="H187" s="225">
        <f t="shared" si="61"/>
        <v>0</v>
      </c>
      <c r="I187" s="225">
        <f t="shared" si="62"/>
        <v>0</v>
      </c>
      <c r="J187" s="197"/>
      <c r="K187" s="224"/>
      <c r="L187" s="224">
        <f t="shared" si="55"/>
        <v>0</v>
      </c>
      <c r="M187" s="224"/>
      <c r="N187" s="282"/>
      <c r="O187" s="282"/>
      <c r="P187" s="282"/>
      <c r="Q187" s="282"/>
      <c r="R187" s="226">
        <v>0.1</v>
      </c>
      <c r="S187" s="282"/>
      <c r="T187" s="357"/>
      <c r="U187" s="303"/>
    </row>
    <row r="188" spans="1:25" ht="52.5" outlineLevel="2">
      <c r="A188" s="221"/>
      <c r="B188" s="221">
        <v>3</v>
      </c>
      <c r="C188" s="222" t="s">
        <v>269</v>
      </c>
      <c r="D188" s="222" t="s">
        <v>815</v>
      </c>
      <c r="E188" s="222"/>
      <c r="F188" s="221" t="s">
        <v>265</v>
      </c>
      <c r="G188" s="225">
        <v>0</v>
      </c>
      <c r="H188" s="225">
        <f t="shared" si="61"/>
        <v>0</v>
      </c>
      <c r="I188" s="225">
        <f t="shared" si="62"/>
        <v>0</v>
      </c>
      <c r="J188" s="197"/>
      <c r="K188" s="224"/>
      <c r="L188" s="224">
        <f t="shared" si="55"/>
        <v>0</v>
      </c>
      <c r="M188" s="224"/>
      <c r="N188" s="282"/>
      <c r="O188" s="282"/>
      <c r="P188" s="282"/>
      <c r="Q188" s="282"/>
      <c r="R188" s="226">
        <v>0.1</v>
      </c>
      <c r="S188" s="282"/>
      <c r="T188" s="357"/>
      <c r="U188" s="303"/>
    </row>
    <row r="189" spans="1:25" ht="52.5" outlineLevel="2">
      <c r="A189" s="221"/>
      <c r="B189" s="221">
        <v>4</v>
      </c>
      <c r="C189" s="222">
        <v>2.1</v>
      </c>
      <c r="D189" s="222" t="s">
        <v>816</v>
      </c>
      <c r="E189" s="222"/>
      <c r="F189" s="221" t="s">
        <v>265</v>
      </c>
      <c r="G189" s="225">
        <v>0</v>
      </c>
      <c r="H189" s="225">
        <f t="shared" si="61"/>
        <v>0</v>
      </c>
      <c r="I189" s="225">
        <f t="shared" si="62"/>
        <v>0</v>
      </c>
      <c r="J189" s="197"/>
      <c r="K189" s="224">
        <f t="shared" ref="K189:K194" si="87">L189+M189</f>
        <v>24.370767604348639</v>
      </c>
      <c r="L189" s="224">
        <f t="shared" si="55"/>
        <v>2.012265215037961</v>
      </c>
      <c r="M189" s="224">
        <f t="shared" ref="M189:M194" si="88">N189+O189+P189+Q189+S189</f>
        <v>22.358502389310679</v>
      </c>
      <c r="N189" s="282">
        <v>12</v>
      </c>
      <c r="O189" s="282">
        <f>9.67581*调差材料基价表!$E$63/1000+调差材料基价表!$E$64*0.0264+0.2</f>
        <v>8.3259112630097061</v>
      </c>
      <c r="P189" s="282"/>
      <c r="Q189" s="282">
        <v>0</v>
      </c>
      <c r="R189" s="226">
        <v>0.1</v>
      </c>
      <c r="S189" s="227">
        <f t="shared" ref="S189:S191" si="89">SUM(N189:Q189)*R189</f>
        <v>2.0325911263009711</v>
      </c>
      <c r="T189" s="222" t="s">
        <v>302</v>
      </c>
      <c r="U189" s="248"/>
      <c r="V189" s="12"/>
      <c r="W189" s="9"/>
    </row>
    <row r="190" spans="1:25" ht="42" outlineLevel="2">
      <c r="A190" s="221"/>
      <c r="B190" s="221">
        <v>4</v>
      </c>
      <c r="C190" s="222">
        <v>2.2000000000000002</v>
      </c>
      <c r="D190" s="222" t="s">
        <v>817</v>
      </c>
      <c r="E190" s="222"/>
      <c r="F190" s="221" t="s">
        <v>265</v>
      </c>
      <c r="G190" s="225">
        <v>0</v>
      </c>
      <c r="H190" s="225">
        <f t="shared" si="61"/>
        <v>0</v>
      </c>
      <c r="I190" s="225">
        <f t="shared" si="62"/>
        <v>0</v>
      </c>
      <c r="J190" s="197"/>
      <c r="K190" s="224">
        <f t="shared" si="87"/>
        <v>0</v>
      </c>
      <c r="L190" s="224">
        <f t="shared" si="55"/>
        <v>0</v>
      </c>
      <c r="M190" s="224">
        <f t="shared" si="88"/>
        <v>0</v>
      </c>
      <c r="N190" s="356"/>
      <c r="O190" s="356"/>
      <c r="P190" s="356"/>
      <c r="Q190" s="356"/>
      <c r="R190" s="226">
        <v>0.1</v>
      </c>
      <c r="S190" s="227">
        <f t="shared" si="89"/>
        <v>0</v>
      </c>
      <c r="T190" s="349"/>
      <c r="U190" s="306"/>
    </row>
    <row r="191" spans="1:25" ht="21" outlineLevel="2">
      <c r="A191" s="221"/>
      <c r="B191" s="221">
        <v>3</v>
      </c>
      <c r="C191" s="222" t="s">
        <v>275</v>
      </c>
      <c r="D191" s="222" t="s">
        <v>818</v>
      </c>
      <c r="E191" s="222"/>
      <c r="F191" s="221" t="s">
        <v>265</v>
      </c>
      <c r="G191" s="225">
        <v>0</v>
      </c>
      <c r="H191" s="225">
        <f t="shared" si="61"/>
        <v>0</v>
      </c>
      <c r="I191" s="225">
        <f t="shared" si="62"/>
        <v>0</v>
      </c>
      <c r="J191" s="197"/>
      <c r="K191" s="224">
        <f t="shared" si="87"/>
        <v>4.5561999999999996</v>
      </c>
      <c r="L191" s="224">
        <f t="shared" si="55"/>
        <v>0.37619999999999998</v>
      </c>
      <c r="M191" s="224">
        <f t="shared" si="88"/>
        <v>4.18</v>
      </c>
      <c r="N191" s="282">
        <v>0</v>
      </c>
      <c r="O191" s="282">
        <v>3.8</v>
      </c>
      <c r="P191" s="282">
        <v>0</v>
      </c>
      <c r="Q191" s="282">
        <v>0</v>
      </c>
      <c r="R191" s="226">
        <v>0.1</v>
      </c>
      <c r="S191" s="227">
        <f t="shared" si="89"/>
        <v>0.38</v>
      </c>
      <c r="T191" s="363"/>
      <c r="U191" s="288"/>
    </row>
    <row r="192" spans="1:25" ht="42" outlineLevel="1">
      <c r="A192" s="221">
        <v>6</v>
      </c>
      <c r="B192" s="221">
        <v>2</v>
      </c>
      <c r="C192" s="222" t="s">
        <v>819</v>
      </c>
      <c r="D192" s="222" t="s">
        <v>820</v>
      </c>
      <c r="E192" s="222" t="s">
        <v>814</v>
      </c>
      <c r="F192" s="221" t="s">
        <v>265</v>
      </c>
      <c r="G192" s="225">
        <v>0</v>
      </c>
      <c r="H192" s="225">
        <f t="shared" si="61"/>
        <v>0</v>
      </c>
      <c r="I192" s="225">
        <f t="shared" si="62"/>
        <v>0</v>
      </c>
      <c r="J192" s="197"/>
      <c r="K192" s="224"/>
      <c r="L192" s="224">
        <f t="shared" si="55"/>
        <v>0</v>
      </c>
      <c r="M192" s="224"/>
      <c r="N192" s="282"/>
      <c r="O192" s="282"/>
      <c r="P192" s="282"/>
      <c r="Q192" s="282"/>
      <c r="R192" s="226">
        <v>0.1</v>
      </c>
      <c r="S192" s="282"/>
      <c r="T192" s="357"/>
      <c r="U192" s="303"/>
      <c r="W192" s="13" t="s">
        <v>821</v>
      </c>
    </row>
    <row r="193" spans="1:25" ht="52.5" outlineLevel="2">
      <c r="A193" s="221"/>
      <c r="B193" s="221">
        <v>3</v>
      </c>
      <c r="C193" s="222" t="s">
        <v>266</v>
      </c>
      <c r="D193" s="222" t="s">
        <v>822</v>
      </c>
      <c r="E193" s="222" t="s">
        <v>823</v>
      </c>
      <c r="F193" s="221" t="s">
        <v>265</v>
      </c>
      <c r="G193" s="225">
        <v>0</v>
      </c>
      <c r="H193" s="225">
        <f t="shared" si="61"/>
        <v>0</v>
      </c>
      <c r="I193" s="225">
        <f t="shared" si="62"/>
        <v>0</v>
      </c>
      <c r="J193" s="197"/>
      <c r="K193" s="224">
        <f t="shared" si="87"/>
        <v>54.486242718446626</v>
      </c>
      <c r="L193" s="224">
        <f t="shared" si="55"/>
        <v>4.4988640776699045</v>
      </c>
      <c r="M193" s="224">
        <f t="shared" si="88"/>
        <v>49.987378640776718</v>
      </c>
      <c r="N193" s="282">
        <v>13</v>
      </c>
      <c r="O193" s="282">
        <f>45/1000*1.02*调差材料基价表!$E$21</f>
        <v>36.987378640776718</v>
      </c>
      <c r="P193" s="282">
        <v>0</v>
      </c>
      <c r="Q193" s="282">
        <v>0</v>
      </c>
      <c r="R193" s="226">
        <v>0.1</v>
      </c>
      <c r="S193" s="282"/>
      <c r="T193" s="357"/>
      <c r="U193" s="303"/>
    </row>
    <row r="194" spans="1:25" ht="52.5" outlineLevel="2">
      <c r="A194" s="221"/>
      <c r="B194" s="221">
        <v>4</v>
      </c>
      <c r="C194" s="222" t="s">
        <v>269</v>
      </c>
      <c r="D194" s="222" t="s">
        <v>818</v>
      </c>
      <c r="E194" s="222"/>
      <c r="F194" s="221" t="s">
        <v>265</v>
      </c>
      <c r="G194" s="225">
        <v>0</v>
      </c>
      <c r="H194" s="225">
        <f t="shared" si="61"/>
        <v>0</v>
      </c>
      <c r="I194" s="225">
        <f t="shared" si="62"/>
        <v>0</v>
      </c>
      <c r="J194" s="197"/>
      <c r="K194" s="224">
        <f t="shared" si="87"/>
        <v>4.9275407766990327</v>
      </c>
      <c r="L194" s="224">
        <f t="shared" si="55"/>
        <v>0.40686116504854397</v>
      </c>
      <c r="M194" s="224">
        <f t="shared" si="88"/>
        <v>4.5206796116504888</v>
      </c>
      <c r="N194" s="282">
        <v>0</v>
      </c>
      <c r="O194" s="282">
        <f>5/1000*1.02*调差材料基价表!$E$21</f>
        <v>4.1097087378640804</v>
      </c>
      <c r="P194" s="282">
        <v>0</v>
      </c>
      <c r="Q194" s="282">
        <v>0</v>
      </c>
      <c r="R194" s="226">
        <v>0.1</v>
      </c>
      <c r="S194" s="227">
        <f>SUM(N194:Q194)*R194</f>
        <v>0.41097087378640806</v>
      </c>
      <c r="T194" s="222" t="s">
        <v>302</v>
      </c>
      <c r="U194" s="248"/>
      <c r="V194" s="14"/>
      <c r="W194" s="15"/>
    </row>
    <row r="195" spans="1:25" ht="21" outlineLevel="1">
      <c r="A195" s="221">
        <v>7</v>
      </c>
      <c r="B195" s="221">
        <v>2</v>
      </c>
      <c r="C195" s="222" t="s">
        <v>824</v>
      </c>
      <c r="D195" s="222" t="s">
        <v>263</v>
      </c>
      <c r="E195" s="222" t="s">
        <v>814</v>
      </c>
      <c r="F195" s="221" t="s">
        <v>265</v>
      </c>
      <c r="G195" s="225">
        <v>0</v>
      </c>
      <c r="H195" s="225">
        <f t="shared" si="61"/>
        <v>0</v>
      </c>
      <c r="I195" s="225">
        <f t="shared" si="62"/>
        <v>0</v>
      </c>
      <c r="J195" s="197"/>
      <c r="K195" s="224"/>
      <c r="L195" s="224">
        <f t="shared" si="55"/>
        <v>0</v>
      </c>
      <c r="M195" s="224"/>
      <c r="N195" s="305"/>
      <c r="O195" s="305"/>
      <c r="P195" s="305"/>
      <c r="Q195" s="305"/>
      <c r="R195" s="226">
        <v>0.1</v>
      </c>
      <c r="S195" s="306"/>
      <c r="T195" s="276"/>
      <c r="U195" s="306"/>
      <c r="V195" s="8"/>
      <c r="W195" s="8"/>
      <c r="X195" s="8"/>
      <c r="Y195" s="8"/>
    </row>
    <row r="196" spans="1:25" ht="42" outlineLevel="2">
      <c r="A196" s="221"/>
      <c r="B196" s="221">
        <v>3</v>
      </c>
      <c r="C196" s="222" t="s">
        <v>266</v>
      </c>
      <c r="D196" s="222" t="s">
        <v>792</v>
      </c>
      <c r="E196" s="222"/>
      <c r="F196" s="221" t="s">
        <v>265</v>
      </c>
      <c r="G196" s="225">
        <v>0</v>
      </c>
      <c r="H196" s="225">
        <f t="shared" si="61"/>
        <v>0</v>
      </c>
      <c r="I196" s="225">
        <f t="shared" si="62"/>
        <v>0</v>
      </c>
      <c r="J196" s="197"/>
      <c r="K196" s="224"/>
      <c r="L196" s="224">
        <f t="shared" si="55"/>
        <v>0</v>
      </c>
      <c r="M196" s="224"/>
      <c r="N196" s="282"/>
      <c r="O196" s="282"/>
      <c r="P196" s="282"/>
      <c r="Q196" s="282"/>
      <c r="R196" s="226">
        <v>0.1</v>
      </c>
      <c r="S196" s="227"/>
      <c r="T196" s="349"/>
      <c r="U196" s="306"/>
      <c r="V196" s="8"/>
      <c r="W196" s="8"/>
      <c r="X196" s="8"/>
      <c r="Y196" s="8"/>
    </row>
    <row r="197" spans="1:25" ht="52.5" outlineLevel="2">
      <c r="A197" s="221"/>
      <c r="B197" s="221">
        <v>4</v>
      </c>
      <c r="C197" s="222">
        <v>1.1000000000000001</v>
      </c>
      <c r="D197" s="222" t="s">
        <v>793</v>
      </c>
      <c r="E197" s="222"/>
      <c r="F197" s="221" t="s">
        <v>265</v>
      </c>
      <c r="G197" s="225">
        <v>0</v>
      </c>
      <c r="H197" s="225">
        <f t="shared" si="61"/>
        <v>0</v>
      </c>
      <c r="I197" s="225">
        <f t="shared" si="62"/>
        <v>0</v>
      </c>
      <c r="J197" s="197"/>
      <c r="K197" s="224">
        <f t="shared" ref="K197:K199" si="90">L197+M197</f>
        <v>22.252250370825244</v>
      </c>
      <c r="L197" s="224">
        <f t="shared" si="55"/>
        <v>1.8373417737378641</v>
      </c>
      <c r="M197" s="224">
        <f t="shared" ref="M197:M199" si="91">N197+O197+P197+Q197+S197</f>
        <v>20.414908597087379</v>
      </c>
      <c r="N197" s="282">
        <v>12</v>
      </c>
      <c r="O197" s="282">
        <f>7.745*调差材料基价表!$E$63/1000+0.0203*调差材料基价表!$E$64+0.2</f>
        <v>6.5590078155339793</v>
      </c>
      <c r="P197" s="282"/>
      <c r="Q197" s="282">
        <v>0</v>
      </c>
      <c r="R197" s="226">
        <v>0.1</v>
      </c>
      <c r="S197" s="227">
        <f t="shared" ref="S197:S199" si="92">SUM(N197:Q197)*R197</f>
        <v>1.8559007815533981</v>
      </c>
      <c r="T197" s="348" t="s">
        <v>514</v>
      </c>
      <c r="U197" s="248"/>
      <c r="V197" s="8"/>
      <c r="W197" s="8"/>
      <c r="X197" s="8"/>
      <c r="Y197" s="8"/>
    </row>
    <row r="198" spans="1:25" ht="31.5" outlineLevel="2">
      <c r="A198" s="221"/>
      <c r="B198" s="221">
        <v>4</v>
      </c>
      <c r="C198" s="222">
        <v>1.2</v>
      </c>
      <c r="D198" s="222" t="s">
        <v>794</v>
      </c>
      <c r="E198" s="222"/>
      <c r="F198" s="221" t="s">
        <v>265</v>
      </c>
      <c r="G198" s="225">
        <v>0</v>
      </c>
      <c r="H198" s="225">
        <f t="shared" si="61"/>
        <v>0</v>
      </c>
      <c r="I198" s="225">
        <f t="shared" si="62"/>
        <v>0</v>
      </c>
      <c r="J198" s="197"/>
      <c r="K198" s="224">
        <f t="shared" si="90"/>
        <v>0</v>
      </c>
      <c r="L198" s="224">
        <f t="shared" si="55"/>
        <v>0</v>
      </c>
      <c r="M198" s="224">
        <f t="shared" si="91"/>
        <v>0</v>
      </c>
      <c r="N198" s="356"/>
      <c r="O198" s="356"/>
      <c r="P198" s="356"/>
      <c r="Q198" s="356"/>
      <c r="R198" s="226">
        <v>0.1</v>
      </c>
      <c r="S198" s="227">
        <f t="shared" si="92"/>
        <v>0</v>
      </c>
      <c r="T198" s="276" t="s">
        <v>789</v>
      </c>
      <c r="U198" s="306"/>
      <c r="V198" s="8"/>
      <c r="W198" s="8"/>
      <c r="X198" s="8"/>
      <c r="Y198" s="8"/>
    </row>
    <row r="199" spans="1:25" ht="42" outlineLevel="2">
      <c r="A199" s="221"/>
      <c r="B199" s="221">
        <v>4</v>
      </c>
      <c r="C199" s="222">
        <v>1.3</v>
      </c>
      <c r="D199" s="222" t="s">
        <v>825</v>
      </c>
      <c r="E199" s="222"/>
      <c r="F199" s="221" t="s">
        <v>265</v>
      </c>
      <c r="G199" s="225">
        <v>0</v>
      </c>
      <c r="H199" s="225">
        <f t="shared" si="61"/>
        <v>0</v>
      </c>
      <c r="I199" s="225">
        <f t="shared" si="62"/>
        <v>0</v>
      </c>
      <c r="J199" s="197"/>
      <c r="K199" s="224">
        <f t="shared" si="90"/>
        <v>22.936986407766987</v>
      </c>
      <c r="L199" s="224">
        <f t="shared" si="55"/>
        <v>1.893879611650485</v>
      </c>
      <c r="M199" s="224">
        <f t="shared" si="91"/>
        <v>21.043106796116501</v>
      </c>
      <c r="N199" s="282">
        <v>12</v>
      </c>
      <c r="O199" s="282">
        <f>0.0153*调差材料基价表!$E$49</f>
        <v>7.1300970873786378</v>
      </c>
      <c r="P199" s="282"/>
      <c r="Q199" s="282">
        <v>0</v>
      </c>
      <c r="R199" s="226">
        <v>0.1</v>
      </c>
      <c r="S199" s="227">
        <f t="shared" si="92"/>
        <v>1.9130097087378637</v>
      </c>
      <c r="T199" s="276" t="s">
        <v>789</v>
      </c>
      <c r="U199" s="306"/>
      <c r="V199" s="8"/>
      <c r="W199" s="8" t="s">
        <v>440</v>
      </c>
      <c r="X199" s="8"/>
      <c r="Y199" s="8"/>
    </row>
    <row r="200" spans="1:25" ht="63" outlineLevel="1">
      <c r="A200" s="221">
        <v>8</v>
      </c>
      <c r="B200" s="221">
        <v>2</v>
      </c>
      <c r="C200" s="222" t="s">
        <v>826</v>
      </c>
      <c r="D200" s="222" t="s">
        <v>263</v>
      </c>
      <c r="E200" s="222" t="s">
        <v>533</v>
      </c>
      <c r="F200" s="221" t="s">
        <v>265</v>
      </c>
      <c r="G200" s="225">
        <v>0</v>
      </c>
      <c r="H200" s="225">
        <f t="shared" si="61"/>
        <v>0</v>
      </c>
      <c r="I200" s="225">
        <f t="shared" si="62"/>
        <v>0</v>
      </c>
      <c r="J200" s="197"/>
      <c r="K200" s="224"/>
      <c r="L200" s="224">
        <f t="shared" si="55"/>
        <v>0</v>
      </c>
      <c r="M200" s="224"/>
      <c r="N200" s="305"/>
      <c r="O200" s="305"/>
      <c r="P200" s="305"/>
      <c r="Q200" s="305"/>
      <c r="R200" s="226">
        <v>0.1</v>
      </c>
      <c r="S200" s="306"/>
      <c r="T200" s="276"/>
      <c r="U200" s="306"/>
      <c r="V200" s="8"/>
      <c r="W200" s="8"/>
      <c r="X200" s="8"/>
      <c r="Y200" s="8"/>
    </row>
    <row r="201" spans="1:25" ht="52.5" outlineLevel="2">
      <c r="A201" s="221"/>
      <c r="B201" s="221">
        <v>3</v>
      </c>
      <c r="C201" s="222" t="s">
        <v>266</v>
      </c>
      <c r="D201" s="222" t="s">
        <v>827</v>
      </c>
      <c r="E201" s="222"/>
      <c r="F201" s="221" t="s">
        <v>265</v>
      </c>
      <c r="G201" s="225">
        <v>0</v>
      </c>
      <c r="H201" s="225">
        <f t="shared" si="61"/>
        <v>0</v>
      </c>
      <c r="I201" s="225">
        <f t="shared" si="62"/>
        <v>0</v>
      </c>
      <c r="J201" s="197"/>
      <c r="K201" s="224"/>
      <c r="L201" s="224">
        <f t="shared" si="55"/>
        <v>0</v>
      </c>
      <c r="M201" s="224"/>
      <c r="N201" s="282"/>
      <c r="O201" s="282"/>
      <c r="P201" s="282"/>
      <c r="Q201" s="282"/>
      <c r="R201" s="226">
        <v>0.1</v>
      </c>
      <c r="S201" s="227"/>
      <c r="T201" s="349"/>
      <c r="U201" s="306"/>
      <c r="V201" s="8"/>
      <c r="W201" s="8"/>
      <c r="X201" s="8"/>
      <c r="Y201" s="8"/>
    </row>
    <row r="202" spans="1:25" ht="52.5" outlineLevel="2">
      <c r="A202" s="221"/>
      <c r="B202" s="221">
        <v>4</v>
      </c>
      <c r="C202" s="222">
        <v>1.1000000000000001</v>
      </c>
      <c r="D202" s="222" t="s">
        <v>787</v>
      </c>
      <c r="E202" s="222"/>
      <c r="F202" s="221" t="s">
        <v>265</v>
      </c>
      <c r="G202" s="225">
        <v>0</v>
      </c>
      <c r="H202" s="225">
        <f t="shared" si="61"/>
        <v>0</v>
      </c>
      <c r="I202" s="225">
        <f t="shared" si="62"/>
        <v>0</v>
      </c>
      <c r="J202" s="197"/>
      <c r="K202" s="224">
        <f t="shared" ref="K202:K205" si="93">L202+M202</f>
        <v>22.252250370825244</v>
      </c>
      <c r="L202" s="224">
        <f t="shared" si="55"/>
        <v>1.8373417737378641</v>
      </c>
      <c r="M202" s="224">
        <f t="shared" ref="M202:M205" si="94">N202+O202+P202+Q202+S202</f>
        <v>20.414908597087379</v>
      </c>
      <c r="N202" s="282">
        <v>12</v>
      </c>
      <c r="O202" s="282">
        <f>7.745*调差材料基价表!$E$63/1000+0.0203*调差材料基价表!$E$64+0.2</f>
        <v>6.5590078155339793</v>
      </c>
      <c r="P202" s="282"/>
      <c r="Q202" s="282">
        <v>0</v>
      </c>
      <c r="R202" s="226">
        <v>0.1</v>
      </c>
      <c r="S202" s="227">
        <f t="shared" ref="S202:S205" si="95">SUM(N202:Q202)*R202</f>
        <v>1.8559007815533981</v>
      </c>
      <c r="T202" s="348" t="s">
        <v>514</v>
      </c>
      <c r="U202" s="248"/>
      <c r="V202" s="8"/>
      <c r="W202" s="8"/>
      <c r="X202" s="8"/>
      <c r="Y202" s="8"/>
    </row>
    <row r="203" spans="1:25" ht="42" outlineLevel="2">
      <c r="A203" s="221"/>
      <c r="B203" s="221">
        <v>4</v>
      </c>
      <c r="C203" s="222">
        <v>1.2</v>
      </c>
      <c r="D203" s="222" t="s">
        <v>788</v>
      </c>
      <c r="E203" s="222"/>
      <c r="F203" s="221" t="s">
        <v>265</v>
      </c>
      <c r="G203" s="225">
        <v>0</v>
      </c>
      <c r="H203" s="225">
        <f t="shared" si="61"/>
        <v>0</v>
      </c>
      <c r="I203" s="225">
        <f t="shared" si="62"/>
        <v>0</v>
      </c>
      <c r="J203" s="197"/>
      <c r="K203" s="224">
        <f t="shared" si="93"/>
        <v>0</v>
      </c>
      <c r="L203" s="224">
        <f t="shared" ref="L203:L247" si="96">M203*0.09</f>
        <v>0</v>
      </c>
      <c r="M203" s="224">
        <f t="shared" si="94"/>
        <v>0</v>
      </c>
      <c r="N203" s="356"/>
      <c r="O203" s="356"/>
      <c r="P203" s="356"/>
      <c r="Q203" s="356"/>
      <c r="R203" s="226">
        <v>0.1</v>
      </c>
      <c r="S203" s="227">
        <f t="shared" si="95"/>
        <v>0</v>
      </c>
      <c r="T203" s="276" t="s">
        <v>789</v>
      </c>
      <c r="U203" s="306"/>
      <c r="V203" s="8"/>
      <c r="W203" s="8"/>
      <c r="X203" s="8"/>
      <c r="Y203" s="8"/>
    </row>
    <row r="204" spans="1:25" ht="31.5" outlineLevel="2">
      <c r="A204" s="221"/>
      <c r="B204" s="221">
        <v>4</v>
      </c>
      <c r="C204" s="222">
        <v>1.3</v>
      </c>
      <c r="D204" s="222" t="s">
        <v>828</v>
      </c>
      <c r="E204" s="277"/>
      <c r="F204" s="221" t="s">
        <v>265</v>
      </c>
      <c r="G204" s="225">
        <v>0</v>
      </c>
      <c r="H204" s="225">
        <f t="shared" si="61"/>
        <v>0</v>
      </c>
      <c r="I204" s="225">
        <f t="shared" si="62"/>
        <v>0</v>
      </c>
      <c r="J204" s="197"/>
      <c r="K204" s="224">
        <f t="shared" si="93"/>
        <v>22.936986407766987</v>
      </c>
      <c r="L204" s="224">
        <f t="shared" si="96"/>
        <v>1.893879611650485</v>
      </c>
      <c r="M204" s="224">
        <f t="shared" si="94"/>
        <v>21.043106796116501</v>
      </c>
      <c r="N204" s="282">
        <v>12</v>
      </c>
      <c r="O204" s="282">
        <f>0.0153*调差材料基价表!$E$49</f>
        <v>7.1300970873786378</v>
      </c>
      <c r="P204" s="282"/>
      <c r="Q204" s="282">
        <v>0</v>
      </c>
      <c r="R204" s="226">
        <v>0.1</v>
      </c>
      <c r="S204" s="227">
        <f t="shared" si="95"/>
        <v>1.9130097087378637</v>
      </c>
      <c r="T204" s="276" t="s">
        <v>789</v>
      </c>
      <c r="U204" s="306"/>
      <c r="W204" s="9" t="s">
        <v>440</v>
      </c>
    </row>
    <row r="205" spans="1:25" ht="199.5" outlineLevel="2">
      <c r="A205" s="221"/>
      <c r="B205" s="221">
        <v>3</v>
      </c>
      <c r="C205" s="222" t="s">
        <v>269</v>
      </c>
      <c r="D205" s="222" t="s">
        <v>829</v>
      </c>
      <c r="E205" s="222"/>
      <c r="F205" s="221" t="s">
        <v>265</v>
      </c>
      <c r="G205" s="225">
        <v>0</v>
      </c>
      <c r="H205" s="225">
        <f t="shared" ref="H205:H247" si="97">G205*K205</f>
        <v>0</v>
      </c>
      <c r="I205" s="225">
        <f t="shared" ref="I205:I247" si="98">G205*K205*(1+J205)</f>
        <v>0</v>
      </c>
      <c r="J205" s="197"/>
      <c r="K205" s="224">
        <f t="shared" si="93"/>
        <v>17.3855</v>
      </c>
      <c r="L205" s="224">
        <f t="shared" si="96"/>
        <v>1.4354999999999998</v>
      </c>
      <c r="M205" s="224">
        <f t="shared" si="94"/>
        <v>15.95</v>
      </c>
      <c r="N205" s="282">
        <v>8.5</v>
      </c>
      <c r="O205" s="282">
        <v>5</v>
      </c>
      <c r="P205" s="282">
        <v>1</v>
      </c>
      <c r="Q205" s="282">
        <v>0</v>
      </c>
      <c r="R205" s="226">
        <v>0.1</v>
      </c>
      <c r="S205" s="227">
        <f t="shared" si="95"/>
        <v>1.4500000000000002</v>
      </c>
      <c r="T205" s="349"/>
      <c r="U205" s="306"/>
      <c r="V205" s="8"/>
      <c r="W205" s="8" t="s">
        <v>437</v>
      </c>
      <c r="X205" s="8"/>
      <c r="Y205" s="8"/>
    </row>
    <row r="206" spans="1:25" ht="42" outlineLevel="2">
      <c r="A206" s="221"/>
      <c r="B206" s="221">
        <v>3</v>
      </c>
      <c r="C206" s="222" t="s">
        <v>275</v>
      </c>
      <c r="D206" s="222" t="s">
        <v>830</v>
      </c>
      <c r="E206" s="222"/>
      <c r="F206" s="221" t="s">
        <v>265</v>
      </c>
      <c r="G206" s="225">
        <v>0</v>
      </c>
      <c r="H206" s="225">
        <f t="shared" si="97"/>
        <v>0</v>
      </c>
      <c r="I206" s="225">
        <f t="shared" si="98"/>
        <v>0</v>
      </c>
      <c r="J206" s="197"/>
      <c r="K206" s="224"/>
      <c r="L206" s="224">
        <f t="shared" si="96"/>
        <v>0</v>
      </c>
      <c r="M206" s="224"/>
      <c r="N206" s="282"/>
      <c r="O206" s="282"/>
      <c r="P206" s="282"/>
      <c r="Q206" s="282"/>
      <c r="R206" s="226">
        <v>0.1</v>
      </c>
      <c r="S206" s="227"/>
      <c r="T206" s="349"/>
      <c r="U206" s="306"/>
      <c r="V206" s="8"/>
      <c r="W206" s="8"/>
      <c r="X206" s="8"/>
      <c r="Y206" s="8"/>
    </row>
    <row r="207" spans="1:25" ht="52.5" outlineLevel="2">
      <c r="A207" s="221"/>
      <c r="B207" s="221">
        <v>4</v>
      </c>
      <c r="C207" s="222">
        <v>3.1</v>
      </c>
      <c r="D207" s="222" t="s">
        <v>793</v>
      </c>
      <c r="E207" s="222"/>
      <c r="F207" s="221" t="s">
        <v>265</v>
      </c>
      <c r="G207" s="225">
        <v>0</v>
      </c>
      <c r="H207" s="225">
        <f t="shared" si="97"/>
        <v>0</v>
      </c>
      <c r="I207" s="225">
        <f t="shared" si="98"/>
        <v>0</v>
      </c>
      <c r="J207" s="197"/>
      <c r="K207" s="224">
        <f t="shared" ref="K207:K209" si="99">L207+M207</f>
        <v>22.252250370825244</v>
      </c>
      <c r="L207" s="224">
        <f t="shared" si="96"/>
        <v>1.8373417737378641</v>
      </c>
      <c r="M207" s="224">
        <f t="shared" ref="M207:M209" si="100">N207+O207+P207+Q207+S207</f>
        <v>20.414908597087379</v>
      </c>
      <c r="N207" s="282">
        <v>12</v>
      </c>
      <c r="O207" s="282">
        <f>7.745*调差材料基价表!$E$63/1000+0.0203*调差材料基价表!$E$64+0.2</f>
        <v>6.5590078155339793</v>
      </c>
      <c r="P207" s="282"/>
      <c r="Q207" s="282">
        <v>0</v>
      </c>
      <c r="R207" s="226">
        <v>0.1</v>
      </c>
      <c r="S207" s="227">
        <f t="shared" ref="S207:S209" si="101">SUM(N207:Q207)*R207</f>
        <v>1.8559007815533981</v>
      </c>
      <c r="T207" s="348" t="s">
        <v>514</v>
      </c>
      <c r="U207" s="248"/>
      <c r="V207" s="8"/>
      <c r="W207" s="8"/>
      <c r="X207" s="8"/>
      <c r="Y207" s="8"/>
    </row>
    <row r="208" spans="1:25" ht="31.5" outlineLevel="2">
      <c r="A208" s="221"/>
      <c r="B208" s="221">
        <v>4</v>
      </c>
      <c r="C208" s="222">
        <v>3.2</v>
      </c>
      <c r="D208" s="222" t="s">
        <v>794</v>
      </c>
      <c r="E208" s="222"/>
      <c r="F208" s="221" t="s">
        <v>265</v>
      </c>
      <c r="G208" s="225">
        <v>0</v>
      </c>
      <c r="H208" s="225">
        <f t="shared" si="97"/>
        <v>0</v>
      </c>
      <c r="I208" s="225">
        <f t="shared" si="98"/>
        <v>0</v>
      </c>
      <c r="J208" s="197"/>
      <c r="K208" s="224">
        <f t="shared" si="99"/>
        <v>0</v>
      </c>
      <c r="L208" s="224">
        <f t="shared" si="96"/>
        <v>0</v>
      </c>
      <c r="M208" s="224">
        <f t="shared" si="100"/>
        <v>0</v>
      </c>
      <c r="N208" s="356"/>
      <c r="O208" s="356"/>
      <c r="P208" s="356"/>
      <c r="Q208" s="356"/>
      <c r="R208" s="226">
        <v>0.1</v>
      </c>
      <c r="S208" s="227">
        <f t="shared" si="101"/>
        <v>0</v>
      </c>
      <c r="T208" s="348" t="s">
        <v>789</v>
      </c>
      <c r="U208" s="306"/>
      <c r="V208" s="8"/>
      <c r="W208" s="8"/>
      <c r="X208" s="8"/>
      <c r="Y208" s="8"/>
    </row>
    <row r="209" spans="1:25" ht="21" outlineLevel="2">
      <c r="A209" s="221"/>
      <c r="B209" s="221">
        <v>3</v>
      </c>
      <c r="C209" s="222" t="s">
        <v>278</v>
      </c>
      <c r="D209" s="222" t="s">
        <v>831</v>
      </c>
      <c r="E209" s="222"/>
      <c r="F209" s="221" t="s">
        <v>265</v>
      </c>
      <c r="G209" s="225">
        <v>0</v>
      </c>
      <c r="H209" s="225">
        <f t="shared" si="97"/>
        <v>0</v>
      </c>
      <c r="I209" s="225">
        <f t="shared" si="98"/>
        <v>0</v>
      </c>
      <c r="J209" s="197"/>
      <c r="K209" s="224">
        <f t="shared" si="99"/>
        <v>28.992518446601924</v>
      </c>
      <c r="L209" s="224">
        <f t="shared" si="96"/>
        <v>2.3938776699029112</v>
      </c>
      <c r="M209" s="224">
        <f t="shared" si="100"/>
        <v>26.598640776699014</v>
      </c>
      <c r="N209" s="282">
        <v>12</v>
      </c>
      <c r="O209" s="282">
        <f>0.0306*调差材料基价表!E12</f>
        <v>12.180582524271831</v>
      </c>
      <c r="P209" s="282"/>
      <c r="Q209" s="282">
        <v>0</v>
      </c>
      <c r="R209" s="226">
        <v>0.1</v>
      </c>
      <c r="S209" s="227">
        <f t="shared" si="101"/>
        <v>2.4180582524271834</v>
      </c>
      <c r="T209" s="222" t="s">
        <v>832</v>
      </c>
      <c r="U209" s="306"/>
      <c r="V209" s="8"/>
      <c r="W209" s="8"/>
      <c r="X209" s="8"/>
      <c r="Y209" s="8"/>
    </row>
    <row r="210" spans="1:25" ht="42" outlineLevel="1">
      <c r="A210" s="221">
        <v>9</v>
      </c>
      <c r="B210" s="221">
        <v>2</v>
      </c>
      <c r="C210" s="222" t="s">
        <v>833</v>
      </c>
      <c r="D210" s="222" t="s">
        <v>263</v>
      </c>
      <c r="E210" s="222" t="s">
        <v>834</v>
      </c>
      <c r="F210" s="221" t="s">
        <v>265</v>
      </c>
      <c r="G210" s="225">
        <v>0</v>
      </c>
      <c r="H210" s="225">
        <f t="shared" ref="H210:H211" si="102">G210*K210</f>
        <v>0</v>
      </c>
      <c r="I210" s="225">
        <f t="shared" ref="I210:I211" si="103">G210*K210*(1+J210)</f>
        <v>0</v>
      </c>
      <c r="J210" s="197"/>
      <c r="K210" s="224"/>
      <c r="L210" s="224">
        <f t="shared" ref="L210:L211" si="104">M210*0.09</f>
        <v>0</v>
      </c>
      <c r="M210" s="224"/>
      <c r="N210" s="305"/>
      <c r="O210" s="305"/>
      <c r="P210" s="305"/>
      <c r="Q210" s="305"/>
      <c r="R210" s="226">
        <v>0.1</v>
      </c>
      <c r="S210" s="306"/>
      <c r="T210" s="276"/>
      <c r="U210" s="306"/>
      <c r="V210" s="8"/>
      <c r="W210" s="8"/>
      <c r="X210" s="8"/>
      <c r="Y210" s="8"/>
    </row>
    <row r="211" spans="1:25" ht="157.5" outlineLevel="2">
      <c r="A211" s="221"/>
      <c r="B211" s="221">
        <v>3</v>
      </c>
      <c r="C211" s="222" t="s">
        <v>266</v>
      </c>
      <c r="D211" s="222" t="s">
        <v>835</v>
      </c>
      <c r="E211" s="222"/>
      <c r="F211" s="221" t="s">
        <v>265</v>
      </c>
      <c r="G211" s="225">
        <v>0</v>
      </c>
      <c r="H211" s="225">
        <f t="shared" si="102"/>
        <v>0</v>
      </c>
      <c r="I211" s="225">
        <f t="shared" si="103"/>
        <v>0</v>
      </c>
      <c r="J211" s="197"/>
      <c r="K211" s="224">
        <f>L211+M211</f>
        <v>17.3855</v>
      </c>
      <c r="L211" s="224">
        <f t="shared" si="104"/>
        <v>1.4354999999999998</v>
      </c>
      <c r="M211" s="224">
        <f>N211+O211+P211+Q211+S211</f>
        <v>15.95</v>
      </c>
      <c r="N211" s="282">
        <v>8.5</v>
      </c>
      <c r="O211" s="282">
        <v>5</v>
      </c>
      <c r="P211" s="282">
        <v>1</v>
      </c>
      <c r="Q211" s="282">
        <v>0</v>
      </c>
      <c r="R211" s="226">
        <v>0.1</v>
      </c>
      <c r="S211" s="227">
        <f>SUM(N211:Q211)*R211</f>
        <v>1.4500000000000002</v>
      </c>
      <c r="T211" s="349"/>
      <c r="U211" s="306"/>
      <c r="V211" s="8"/>
      <c r="W211" s="8"/>
      <c r="X211" s="8"/>
      <c r="Y211" s="8"/>
    </row>
    <row r="212" spans="1:25" ht="115.5" outlineLevel="2">
      <c r="A212" s="221"/>
      <c r="B212" s="221">
        <v>3</v>
      </c>
      <c r="C212" s="222" t="s">
        <v>269</v>
      </c>
      <c r="D212" s="222" t="s">
        <v>836</v>
      </c>
      <c r="E212" s="222"/>
      <c r="F212" s="221" t="s">
        <v>265</v>
      </c>
      <c r="G212" s="225">
        <v>0</v>
      </c>
      <c r="H212" s="225">
        <f t="shared" ref="H212" si="105">G212*K212</f>
        <v>0</v>
      </c>
      <c r="I212" s="225">
        <f t="shared" ref="I212" si="106">G212*K212*(1+J212)</f>
        <v>0</v>
      </c>
      <c r="J212" s="197"/>
      <c r="K212" s="224">
        <f t="shared" ref="K212" si="107">L212+M212</f>
        <v>21.582000000000001</v>
      </c>
      <c r="L212" s="224">
        <f t="shared" ref="L212" si="108">M212*0.09</f>
        <v>1.782</v>
      </c>
      <c r="M212" s="224">
        <f t="shared" ref="M212" si="109">N212+O212+P212+Q212+S212</f>
        <v>19.8</v>
      </c>
      <c r="N212" s="282">
        <v>12</v>
      </c>
      <c r="O212" s="282">
        <v>5</v>
      </c>
      <c r="P212" s="282">
        <v>1</v>
      </c>
      <c r="Q212" s="282">
        <v>0</v>
      </c>
      <c r="R212" s="226">
        <v>0.1</v>
      </c>
      <c r="S212" s="227">
        <f t="shared" ref="S212" si="110">SUM(N212:Q212)*R212</f>
        <v>1.8</v>
      </c>
      <c r="T212" s="222"/>
      <c r="U212" s="306"/>
      <c r="V212" s="8"/>
      <c r="W212" s="8"/>
      <c r="X212" s="8"/>
      <c r="Y212" s="8"/>
    </row>
    <row r="213" spans="1:25" ht="31.5" outlineLevel="2">
      <c r="A213" s="221"/>
      <c r="B213" s="221">
        <v>3</v>
      </c>
      <c r="C213" s="222" t="s">
        <v>275</v>
      </c>
      <c r="D213" s="222" t="s">
        <v>837</v>
      </c>
      <c r="E213" s="222"/>
      <c r="F213" s="221" t="s">
        <v>265</v>
      </c>
      <c r="G213" s="225">
        <v>0</v>
      </c>
      <c r="H213" s="225">
        <f t="shared" si="97"/>
        <v>0</v>
      </c>
      <c r="I213" s="225">
        <f t="shared" si="98"/>
        <v>0</v>
      </c>
      <c r="J213" s="197"/>
      <c r="K213" s="224"/>
      <c r="L213" s="224">
        <f t="shared" si="96"/>
        <v>0</v>
      </c>
      <c r="M213" s="224"/>
      <c r="N213" s="282"/>
      <c r="O213" s="282"/>
      <c r="P213" s="282"/>
      <c r="Q213" s="282"/>
      <c r="R213" s="226">
        <v>0.1</v>
      </c>
      <c r="S213" s="227"/>
      <c r="T213" s="349"/>
      <c r="U213" s="306"/>
      <c r="V213" s="8"/>
      <c r="W213" s="8"/>
      <c r="X213" s="8"/>
      <c r="Y213" s="8"/>
    </row>
    <row r="214" spans="1:25" ht="52.5" outlineLevel="2">
      <c r="A214" s="221"/>
      <c r="B214" s="221">
        <v>4</v>
      </c>
      <c r="C214" s="222">
        <v>3.1</v>
      </c>
      <c r="D214" s="222" t="s">
        <v>838</v>
      </c>
      <c r="E214" s="222"/>
      <c r="F214" s="221" t="s">
        <v>265</v>
      </c>
      <c r="G214" s="225">
        <v>0</v>
      </c>
      <c r="H214" s="225">
        <f t="shared" si="97"/>
        <v>0</v>
      </c>
      <c r="I214" s="225">
        <f t="shared" si="98"/>
        <v>0</v>
      </c>
      <c r="J214" s="197"/>
      <c r="K214" s="224">
        <f t="shared" ref="K214:K218" si="111">L214+M214</f>
        <v>22.252250370825244</v>
      </c>
      <c r="L214" s="224">
        <f t="shared" si="96"/>
        <v>1.8373417737378641</v>
      </c>
      <c r="M214" s="224">
        <f t="shared" ref="M214:M218" si="112">N214+O214+P214+Q214+S214</f>
        <v>20.414908597087379</v>
      </c>
      <c r="N214" s="282">
        <v>12</v>
      </c>
      <c r="O214" s="282">
        <f>7.745*调差材料基价表!$E$63/1000+0.0203*调差材料基价表!$E$64+0.2</f>
        <v>6.5590078155339793</v>
      </c>
      <c r="P214" s="282"/>
      <c r="Q214" s="282">
        <v>0</v>
      </c>
      <c r="R214" s="226">
        <v>0.1</v>
      </c>
      <c r="S214" s="227">
        <f t="shared" ref="S214:S218" si="113">SUM(N214:Q214)*R214</f>
        <v>1.8559007815533981</v>
      </c>
      <c r="T214" s="348" t="s">
        <v>514</v>
      </c>
      <c r="U214" s="248"/>
      <c r="V214" s="8"/>
      <c r="W214" s="8"/>
      <c r="X214" s="8"/>
      <c r="Y214" s="8"/>
    </row>
    <row r="215" spans="1:25" ht="31.5" outlineLevel="2">
      <c r="A215" s="221"/>
      <c r="B215" s="221">
        <v>4</v>
      </c>
      <c r="C215" s="222">
        <v>3.2</v>
      </c>
      <c r="D215" s="222" t="s">
        <v>839</v>
      </c>
      <c r="E215" s="222"/>
      <c r="F215" s="221" t="s">
        <v>265</v>
      </c>
      <c r="G215" s="225">
        <v>0</v>
      </c>
      <c r="H215" s="225">
        <f t="shared" si="97"/>
        <v>0</v>
      </c>
      <c r="I215" s="225">
        <f t="shared" si="98"/>
        <v>0</v>
      </c>
      <c r="J215" s="197"/>
      <c r="K215" s="224">
        <f t="shared" si="111"/>
        <v>0</v>
      </c>
      <c r="L215" s="224">
        <f t="shared" si="96"/>
        <v>0</v>
      </c>
      <c r="M215" s="224">
        <f t="shared" si="112"/>
        <v>0</v>
      </c>
      <c r="N215" s="356"/>
      <c r="O215" s="356"/>
      <c r="P215" s="356"/>
      <c r="Q215" s="356"/>
      <c r="R215" s="226">
        <v>0.1</v>
      </c>
      <c r="S215" s="227">
        <f t="shared" si="113"/>
        <v>0</v>
      </c>
      <c r="T215" s="276" t="s">
        <v>840</v>
      </c>
      <c r="U215" s="306"/>
      <c r="V215" s="8"/>
      <c r="W215" s="8"/>
      <c r="X215" s="8"/>
      <c r="Y215" s="8"/>
    </row>
    <row r="216" spans="1:25" ht="13.5" outlineLevel="2">
      <c r="A216" s="221"/>
      <c r="B216" s="221">
        <v>3</v>
      </c>
      <c r="C216" s="222" t="s">
        <v>278</v>
      </c>
      <c r="D216" s="222" t="s">
        <v>841</v>
      </c>
      <c r="E216" s="222"/>
      <c r="F216" s="221" t="s">
        <v>162</v>
      </c>
      <c r="G216" s="225">
        <v>0</v>
      </c>
      <c r="H216" s="225">
        <f t="shared" si="97"/>
        <v>0</v>
      </c>
      <c r="I216" s="225">
        <f t="shared" si="98"/>
        <v>0</v>
      </c>
      <c r="J216" s="197"/>
      <c r="K216" s="224">
        <f t="shared" si="111"/>
        <v>227.81</v>
      </c>
      <c r="L216" s="224">
        <f t="shared" si="96"/>
        <v>18.809999999999999</v>
      </c>
      <c r="M216" s="224">
        <f t="shared" si="112"/>
        <v>209</v>
      </c>
      <c r="N216" s="225">
        <v>40</v>
      </c>
      <c r="O216" s="225">
        <v>150</v>
      </c>
      <c r="P216" s="282"/>
      <c r="Q216" s="225"/>
      <c r="R216" s="226">
        <v>0.1</v>
      </c>
      <c r="S216" s="227">
        <f t="shared" ref="S216" si="114">SUM(N216:Q216)*R216</f>
        <v>19</v>
      </c>
      <c r="T216" s="349"/>
      <c r="U216" s="306"/>
      <c r="V216" s="8"/>
      <c r="W216" s="8"/>
      <c r="X216" s="8"/>
      <c r="Y216" s="8"/>
    </row>
    <row r="217" spans="1:25" ht="63" outlineLevel="2">
      <c r="A217" s="221"/>
      <c r="B217" s="221">
        <v>3</v>
      </c>
      <c r="C217" s="222" t="s">
        <v>308</v>
      </c>
      <c r="D217" s="222" t="s">
        <v>842</v>
      </c>
      <c r="E217" s="222"/>
      <c r="F217" s="221" t="s">
        <v>265</v>
      </c>
      <c r="G217" s="225">
        <v>0</v>
      </c>
      <c r="H217" s="225">
        <f t="shared" si="97"/>
        <v>0</v>
      </c>
      <c r="I217" s="225">
        <f t="shared" si="98"/>
        <v>0</v>
      </c>
      <c r="J217" s="197"/>
      <c r="K217" s="224">
        <f t="shared" si="111"/>
        <v>81.61807655922324</v>
      </c>
      <c r="L217" s="224">
        <f t="shared" si="96"/>
        <v>6.7391072388349462</v>
      </c>
      <c r="M217" s="224">
        <f t="shared" si="112"/>
        <v>74.878969320388293</v>
      </c>
      <c r="N217" s="282">
        <v>14</v>
      </c>
      <c r="O217" s="282">
        <f>0.12*调差材料基价表!$E$12</f>
        <v>47.766990291262083</v>
      </c>
      <c r="P217" s="282">
        <f>(1/0.25)*2*0.222*一级钢综合/1000</f>
        <v>6.3048000000000002</v>
      </c>
      <c r="Q217" s="282">
        <v>0</v>
      </c>
      <c r="R217" s="226">
        <v>0.1</v>
      </c>
      <c r="S217" s="227">
        <f t="shared" si="113"/>
        <v>6.8071790291262095</v>
      </c>
      <c r="T217" s="349"/>
      <c r="U217" s="306"/>
      <c r="V217" s="8"/>
      <c r="W217" s="8"/>
      <c r="X217" s="8"/>
      <c r="Y217" s="8"/>
    </row>
    <row r="218" spans="1:25" ht="157.5" outlineLevel="2">
      <c r="A218" s="221"/>
      <c r="B218" s="221">
        <v>3</v>
      </c>
      <c r="C218" s="222" t="s">
        <v>308</v>
      </c>
      <c r="D218" s="222" t="s">
        <v>843</v>
      </c>
      <c r="E218" s="222"/>
      <c r="F218" s="221" t="s">
        <v>265</v>
      </c>
      <c r="G218" s="225">
        <v>0</v>
      </c>
      <c r="H218" s="225">
        <f t="shared" si="97"/>
        <v>0</v>
      </c>
      <c r="I218" s="225">
        <f t="shared" si="98"/>
        <v>0</v>
      </c>
      <c r="J218" s="197"/>
      <c r="K218" s="224">
        <f t="shared" si="111"/>
        <v>17.3855</v>
      </c>
      <c r="L218" s="224">
        <f t="shared" si="96"/>
        <v>1.4354999999999998</v>
      </c>
      <c r="M218" s="224">
        <f t="shared" si="112"/>
        <v>15.95</v>
      </c>
      <c r="N218" s="282">
        <v>8.5</v>
      </c>
      <c r="O218" s="282">
        <v>5</v>
      </c>
      <c r="P218" s="282">
        <v>1</v>
      </c>
      <c r="Q218" s="282">
        <v>0</v>
      </c>
      <c r="R218" s="226">
        <v>0.1</v>
      </c>
      <c r="S218" s="227">
        <f t="shared" si="113"/>
        <v>1.4500000000000002</v>
      </c>
      <c r="T218" s="349"/>
      <c r="U218" s="306"/>
      <c r="V218" s="8"/>
      <c r="W218" s="8"/>
      <c r="X218" s="8"/>
      <c r="Y218" s="8"/>
    </row>
    <row r="219" spans="1:25" ht="42" outlineLevel="2">
      <c r="A219" s="221"/>
      <c r="B219" s="221">
        <v>3</v>
      </c>
      <c r="C219" s="222" t="s">
        <v>457</v>
      </c>
      <c r="D219" s="222" t="s">
        <v>792</v>
      </c>
      <c r="E219" s="222"/>
      <c r="F219" s="221" t="s">
        <v>265</v>
      </c>
      <c r="G219" s="225">
        <v>0</v>
      </c>
      <c r="H219" s="225">
        <f t="shared" si="97"/>
        <v>0</v>
      </c>
      <c r="I219" s="225">
        <f t="shared" si="98"/>
        <v>0</v>
      </c>
      <c r="J219" s="197"/>
      <c r="K219" s="224"/>
      <c r="L219" s="224">
        <f t="shared" si="96"/>
        <v>0</v>
      </c>
      <c r="M219" s="224"/>
      <c r="N219" s="282"/>
      <c r="O219" s="282"/>
      <c r="P219" s="282"/>
      <c r="Q219" s="282"/>
      <c r="R219" s="226">
        <v>0.1</v>
      </c>
      <c r="S219" s="227"/>
      <c r="T219" s="349"/>
      <c r="U219" s="306"/>
      <c r="V219" s="8"/>
      <c r="W219" s="8"/>
      <c r="X219" s="8"/>
      <c r="Y219" s="8"/>
    </row>
    <row r="220" spans="1:25" ht="52.5" outlineLevel="2">
      <c r="A220" s="221"/>
      <c r="B220" s="221">
        <v>4</v>
      </c>
      <c r="C220" s="222">
        <v>6.1</v>
      </c>
      <c r="D220" s="222" t="s">
        <v>793</v>
      </c>
      <c r="E220" s="222"/>
      <c r="F220" s="221" t="s">
        <v>265</v>
      </c>
      <c r="G220" s="225">
        <v>0</v>
      </c>
      <c r="H220" s="225">
        <f t="shared" si="97"/>
        <v>0</v>
      </c>
      <c r="I220" s="225">
        <f t="shared" si="98"/>
        <v>0</v>
      </c>
      <c r="J220" s="197"/>
      <c r="K220" s="224">
        <f t="shared" ref="K220:K221" si="115">L220+M220</f>
        <v>22.252250370825244</v>
      </c>
      <c r="L220" s="224">
        <f t="shared" si="96"/>
        <v>1.8373417737378641</v>
      </c>
      <c r="M220" s="224">
        <f t="shared" ref="M220:M221" si="116">N220+O220+P220+Q220+S220</f>
        <v>20.414908597087379</v>
      </c>
      <c r="N220" s="282">
        <v>12</v>
      </c>
      <c r="O220" s="282">
        <f>7.745*调差材料基价表!$E$63/1000+0.0203*调差材料基价表!$E$64+0.2</f>
        <v>6.5590078155339793</v>
      </c>
      <c r="P220" s="282"/>
      <c r="Q220" s="282">
        <v>0</v>
      </c>
      <c r="R220" s="226">
        <v>0.1</v>
      </c>
      <c r="S220" s="227">
        <f t="shared" ref="S220:S221" si="117">SUM(N220:Q220)*R220</f>
        <v>1.8559007815533981</v>
      </c>
      <c r="T220" s="348" t="s">
        <v>514</v>
      </c>
      <c r="U220" s="248"/>
      <c r="V220" s="8"/>
      <c r="W220" s="8"/>
      <c r="X220" s="8"/>
      <c r="Y220" s="8"/>
    </row>
    <row r="221" spans="1:25" ht="31.5" outlineLevel="2">
      <c r="A221" s="221"/>
      <c r="B221" s="221">
        <v>4</v>
      </c>
      <c r="C221" s="222">
        <v>6.2</v>
      </c>
      <c r="D221" s="222" t="s">
        <v>794</v>
      </c>
      <c r="E221" s="222"/>
      <c r="F221" s="221" t="s">
        <v>265</v>
      </c>
      <c r="G221" s="225">
        <v>0</v>
      </c>
      <c r="H221" s="225">
        <f t="shared" si="97"/>
        <v>0</v>
      </c>
      <c r="I221" s="225">
        <f t="shared" si="98"/>
        <v>0</v>
      </c>
      <c r="J221" s="197"/>
      <c r="K221" s="224">
        <f t="shared" si="115"/>
        <v>0</v>
      </c>
      <c r="L221" s="224">
        <f t="shared" si="96"/>
        <v>0</v>
      </c>
      <c r="M221" s="224">
        <f t="shared" si="116"/>
        <v>0</v>
      </c>
      <c r="N221" s="356"/>
      <c r="O221" s="356"/>
      <c r="P221" s="356"/>
      <c r="Q221" s="356"/>
      <c r="R221" s="226">
        <v>0.1</v>
      </c>
      <c r="S221" s="227">
        <f t="shared" si="117"/>
        <v>0</v>
      </c>
      <c r="T221" s="276" t="s">
        <v>789</v>
      </c>
      <c r="U221" s="306"/>
      <c r="V221" s="8"/>
      <c r="W221" s="8"/>
      <c r="X221" s="8"/>
      <c r="Y221" s="8"/>
    </row>
    <row r="222" spans="1:25" ht="42" outlineLevel="1">
      <c r="A222" s="221">
        <v>10</v>
      </c>
      <c r="B222" s="221">
        <v>2</v>
      </c>
      <c r="C222" s="222" t="s">
        <v>844</v>
      </c>
      <c r="D222" s="222" t="s">
        <v>263</v>
      </c>
      <c r="E222" s="222" t="s">
        <v>533</v>
      </c>
      <c r="F222" s="221" t="s">
        <v>265</v>
      </c>
      <c r="G222" s="225">
        <v>0</v>
      </c>
      <c r="H222" s="225">
        <f t="shared" si="97"/>
        <v>0</v>
      </c>
      <c r="I222" s="225">
        <f t="shared" si="98"/>
        <v>0</v>
      </c>
      <c r="J222" s="197"/>
      <c r="K222" s="224"/>
      <c r="L222" s="224">
        <f t="shared" si="96"/>
        <v>0</v>
      </c>
      <c r="M222" s="224"/>
      <c r="N222" s="305"/>
      <c r="O222" s="305"/>
      <c r="P222" s="305"/>
      <c r="Q222" s="305"/>
      <c r="R222" s="226">
        <v>0.1</v>
      </c>
      <c r="S222" s="306"/>
      <c r="T222" s="276"/>
      <c r="U222" s="306"/>
      <c r="V222" s="8"/>
      <c r="W222" s="8"/>
      <c r="X222" s="8"/>
      <c r="Y222" s="8"/>
    </row>
    <row r="223" spans="1:25" ht="52.5" outlineLevel="2">
      <c r="A223" s="221"/>
      <c r="B223" s="221">
        <v>3</v>
      </c>
      <c r="C223" s="222" t="s">
        <v>266</v>
      </c>
      <c r="D223" s="222" t="s">
        <v>827</v>
      </c>
      <c r="E223" s="222"/>
      <c r="F223" s="221" t="s">
        <v>265</v>
      </c>
      <c r="G223" s="225">
        <v>0</v>
      </c>
      <c r="H223" s="225">
        <f t="shared" si="97"/>
        <v>0</v>
      </c>
      <c r="I223" s="225">
        <f t="shared" si="98"/>
        <v>0</v>
      </c>
      <c r="J223" s="197"/>
      <c r="K223" s="224"/>
      <c r="L223" s="224">
        <f t="shared" si="96"/>
        <v>0</v>
      </c>
      <c r="M223" s="224"/>
      <c r="N223" s="282"/>
      <c r="O223" s="282"/>
      <c r="P223" s="282"/>
      <c r="Q223" s="282"/>
      <c r="R223" s="226">
        <v>0.1</v>
      </c>
      <c r="S223" s="227"/>
      <c r="T223" s="276"/>
      <c r="U223" s="306"/>
      <c r="V223" s="8"/>
      <c r="W223" s="8"/>
      <c r="X223" s="8"/>
      <c r="Y223" s="8"/>
    </row>
    <row r="224" spans="1:25" ht="52.5" outlineLevel="2">
      <c r="A224" s="221"/>
      <c r="B224" s="221">
        <v>4</v>
      </c>
      <c r="C224" s="222">
        <v>1.1000000000000001</v>
      </c>
      <c r="D224" s="222" t="s">
        <v>845</v>
      </c>
      <c r="E224" s="222"/>
      <c r="F224" s="221" t="s">
        <v>265</v>
      </c>
      <c r="G224" s="225">
        <v>0</v>
      </c>
      <c r="H224" s="225">
        <f t="shared" si="97"/>
        <v>0</v>
      </c>
      <c r="I224" s="225">
        <f t="shared" si="98"/>
        <v>0</v>
      </c>
      <c r="J224" s="197"/>
      <c r="K224" s="224">
        <f t="shared" ref="K224:K227" si="118">L224+M224</f>
        <v>22.252250370825244</v>
      </c>
      <c r="L224" s="224">
        <f t="shared" si="96"/>
        <v>1.8373417737378641</v>
      </c>
      <c r="M224" s="224">
        <f t="shared" ref="M224:M227" si="119">N224+O224+P224+Q224+S224</f>
        <v>20.414908597087379</v>
      </c>
      <c r="N224" s="282">
        <v>12</v>
      </c>
      <c r="O224" s="282">
        <f>7.745*调差材料基价表!$E$63/1000+0.0203*调差材料基价表!$E$64+0.2</f>
        <v>6.5590078155339793</v>
      </c>
      <c r="P224" s="282"/>
      <c r="Q224" s="282">
        <v>0</v>
      </c>
      <c r="R224" s="226">
        <v>0.1</v>
      </c>
      <c r="S224" s="227">
        <f t="shared" ref="S224:S227" si="120">SUM(N224:Q224)*R224</f>
        <v>1.8559007815533981</v>
      </c>
      <c r="T224" s="348" t="s">
        <v>514</v>
      </c>
      <c r="U224" s="248"/>
      <c r="V224" s="8"/>
      <c r="W224" s="8"/>
      <c r="X224" s="8"/>
      <c r="Y224" s="8"/>
    </row>
    <row r="225" spans="1:25" ht="42" outlineLevel="2">
      <c r="A225" s="221"/>
      <c r="B225" s="221">
        <v>4</v>
      </c>
      <c r="C225" s="222">
        <v>1.2</v>
      </c>
      <c r="D225" s="222" t="s">
        <v>846</v>
      </c>
      <c r="E225" s="222"/>
      <c r="F225" s="221" t="s">
        <v>265</v>
      </c>
      <c r="G225" s="225">
        <v>0</v>
      </c>
      <c r="H225" s="225">
        <f t="shared" si="97"/>
        <v>0</v>
      </c>
      <c r="I225" s="225">
        <f t="shared" si="98"/>
        <v>0</v>
      </c>
      <c r="J225" s="197"/>
      <c r="K225" s="224">
        <f t="shared" si="118"/>
        <v>0</v>
      </c>
      <c r="L225" s="224">
        <f t="shared" si="96"/>
        <v>0</v>
      </c>
      <c r="M225" s="224">
        <f t="shared" si="119"/>
        <v>0</v>
      </c>
      <c r="N225" s="356"/>
      <c r="O225" s="356"/>
      <c r="P225" s="356"/>
      <c r="Q225" s="356"/>
      <c r="R225" s="226">
        <v>0.1</v>
      </c>
      <c r="S225" s="227">
        <f t="shared" si="120"/>
        <v>0</v>
      </c>
      <c r="T225" s="276" t="s">
        <v>789</v>
      </c>
      <c r="U225" s="306"/>
      <c r="V225" s="8"/>
      <c r="W225" s="8"/>
      <c r="X225" s="8"/>
      <c r="Y225" s="8"/>
    </row>
    <row r="226" spans="1:25" ht="31.5" outlineLevel="2">
      <c r="A226" s="221"/>
      <c r="B226" s="221">
        <v>4</v>
      </c>
      <c r="C226" s="222">
        <v>1.3</v>
      </c>
      <c r="D226" s="222" t="s">
        <v>828</v>
      </c>
      <c r="E226" s="277"/>
      <c r="F226" s="221" t="s">
        <v>265</v>
      </c>
      <c r="G226" s="225">
        <v>0</v>
      </c>
      <c r="H226" s="225">
        <f t="shared" si="97"/>
        <v>0</v>
      </c>
      <c r="I226" s="225">
        <f t="shared" si="98"/>
        <v>0</v>
      </c>
      <c r="J226" s="197"/>
      <c r="K226" s="224">
        <f t="shared" si="118"/>
        <v>22.936986407766987</v>
      </c>
      <c r="L226" s="224">
        <f t="shared" si="96"/>
        <v>1.893879611650485</v>
      </c>
      <c r="M226" s="224">
        <f t="shared" si="119"/>
        <v>21.043106796116501</v>
      </c>
      <c r="N226" s="282">
        <v>12</v>
      </c>
      <c r="O226" s="282">
        <f>0.0153*调差材料基价表!$E$49</f>
        <v>7.1300970873786378</v>
      </c>
      <c r="P226" s="282"/>
      <c r="Q226" s="282">
        <v>0</v>
      </c>
      <c r="R226" s="226">
        <v>0.1</v>
      </c>
      <c r="S226" s="227">
        <f t="shared" si="120"/>
        <v>1.9130097087378637</v>
      </c>
      <c r="T226" s="276" t="s">
        <v>789</v>
      </c>
      <c r="U226" s="306"/>
      <c r="W226" s="9" t="s">
        <v>440</v>
      </c>
    </row>
    <row r="227" spans="1:25" ht="189" outlineLevel="2">
      <c r="A227" s="221"/>
      <c r="B227" s="221">
        <v>3</v>
      </c>
      <c r="C227" s="222" t="s">
        <v>269</v>
      </c>
      <c r="D227" s="222" t="s">
        <v>847</v>
      </c>
      <c r="E227" s="222"/>
      <c r="F227" s="221" t="s">
        <v>265</v>
      </c>
      <c r="G227" s="225">
        <v>0</v>
      </c>
      <c r="H227" s="225">
        <f t="shared" si="97"/>
        <v>0</v>
      </c>
      <c r="I227" s="225">
        <f t="shared" si="98"/>
        <v>0</v>
      </c>
      <c r="J227" s="197"/>
      <c r="K227" s="224">
        <f t="shared" si="118"/>
        <v>17.3855</v>
      </c>
      <c r="L227" s="224">
        <f t="shared" si="96"/>
        <v>1.4354999999999998</v>
      </c>
      <c r="M227" s="224">
        <f t="shared" si="119"/>
        <v>15.95</v>
      </c>
      <c r="N227" s="282">
        <v>8.5</v>
      </c>
      <c r="O227" s="282">
        <v>5</v>
      </c>
      <c r="P227" s="282">
        <v>1</v>
      </c>
      <c r="Q227" s="282">
        <v>0</v>
      </c>
      <c r="R227" s="226">
        <v>0.1</v>
      </c>
      <c r="S227" s="227">
        <f t="shared" si="120"/>
        <v>1.4500000000000002</v>
      </c>
      <c r="T227" s="349"/>
      <c r="U227" s="306"/>
      <c r="V227" s="8"/>
      <c r="W227" s="8" t="s">
        <v>437</v>
      </c>
      <c r="X227" s="8"/>
      <c r="Y227" s="8"/>
    </row>
    <row r="228" spans="1:25" ht="42" outlineLevel="2">
      <c r="A228" s="221"/>
      <c r="B228" s="221">
        <v>3</v>
      </c>
      <c r="C228" s="222" t="s">
        <v>275</v>
      </c>
      <c r="D228" s="222" t="s">
        <v>830</v>
      </c>
      <c r="E228" s="222"/>
      <c r="F228" s="221" t="s">
        <v>265</v>
      </c>
      <c r="G228" s="225">
        <v>0</v>
      </c>
      <c r="H228" s="225">
        <f t="shared" si="97"/>
        <v>0</v>
      </c>
      <c r="I228" s="225">
        <f t="shared" si="98"/>
        <v>0</v>
      </c>
      <c r="J228" s="197"/>
      <c r="K228" s="224"/>
      <c r="L228" s="224">
        <f t="shared" si="96"/>
        <v>0</v>
      </c>
      <c r="M228" s="224"/>
      <c r="N228" s="282"/>
      <c r="O228" s="282"/>
      <c r="P228" s="282"/>
      <c r="Q228" s="282"/>
      <c r="R228" s="226">
        <v>0.1</v>
      </c>
      <c r="S228" s="227"/>
      <c r="T228" s="349"/>
      <c r="U228" s="306"/>
      <c r="V228" s="8"/>
      <c r="W228" s="8"/>
      <c r="X228" s="8"/>
      <c r="Y228" s="8"/>
    </row>
    <row r="229" spans="1:25" ht="52.5" outlineLevel="2">
      <c r="A229" s="221"/>
      <c r="B229" s="221">
        <v>4</v>
      </c>
      <c r="C229" s="222">
        <v>3.1</v>
      </c>
      <c r="D229" s="222" t="s">
        <v>793</v>
      </c>
      <c r="E229" s="222"/>
      <c r="F229" s="221" t="s">
        <v>265</v>
      </c>
      <c r="G229" s="225">
        <v>0</v>
      </c>
      <c r="H229" s="225">
        <f t="shared" si="97"/>
        <v>0</v>
      </c>
      <c r="I229" s="225">
        <f t="shared" si="98"/>
        <v>0</v>
      </c>
      <c r="J229" s="197"/>
      <c r="K229" s="224">
        <f t="shared" ref="K229:K230" si="121">L229+M229</f>
        <v>22.252250370825244</v>
      </c>
      <c r="L229" s="224">
        <f t="shared" si="96"/>
        <v>1.8373417737378641</v>
      </c>
      <c r="M229" s="224">
        <f t="shared" ref="M229:M230" si="122">N229+O229+P229+Q229+S229</f>
        <v>20.414908597087379</v>
      </c>
      <c r="N229" s="282">
        <v>12</v>
      </c>
      <c r="O229" s="282">
        <f>7.745*调差材料基价表!$E$63/1000+0.0203*调差材料基价表!$E$64+0.2</f>
        <v>6.5590078155339793</v>
      </c>
      <c r="P229" s="282"/>
      <c r="Q229" s="282">
        <v>0</v>
      </c>
      <c r="R229" s="226">
        <v>0.1</v>
      </c>
      <c r="S229" s="227">
        <f t="shared" ref="S229:S230" si="123">SUM(N229:Q229)*R229</f>
        <v>1.8559007815533981</v>
      </c>
      <c r="T229" s="348" t="s">
        <v>514</v>
      </c>
      <c r="U229" s="248"/>
      <c r="V229" s="8"/>
      <c r="W229" s="8" t="s">
        <v>435</v>
      </c>
      <c r="X229" s="8"/>
      <c r="Y229" s="8"/>
    </row>
    <row r="230" spans="1:25" ht="31.5" outlineLevel="2">
      <c r="A230" s="221"/>
      <c r="B230" s="221">
        <v>4</v>
      </c>
      <c r="C230" s="222">
        <v>3.2</v>
      </c>
      <c r="D230" s="222" t="s">
        <v>794</v>
      </c>
      <c r="E230" s="222"/>
      <c r="F230" s="221" t="s">
        <v>265</v>
      </c>
      <c r="G230" s="225">
        <v>0</v>
      </c>
      <c r="H230" s="225">
        <f t="shared" si="97"/>
        <v>0</v>
      </c>
      <c r="I230" s="225">
        <f t="shared" si="98"/>
        <v>0</v>
      </c>
      <c r="J230" s="197"/>
      <c r="K230" s="224">
        <f t="shared" si="121"/>
        <v>0</v>
      </c>
      <c r="L230" s="224">
        <f t="shared" si="96"/>
        <v>0</v>
      </c>
      <c r="M230" s="224">
        <f t="shared" si="122"/>
        <v>0</v>
      </c>
      <c r="N230" s="356"/>
      <c r="O230" s="356"/>
      <c r="P230" s="356"/>
      <c r="Q230" s="356"/>
      <c r="R230" s="226">
        <v>0.1</v>
      </c>
      <c r="S230" s="227">
        <f t="shared" si="123"/>
        <v>0</v>
      </c>
      <c r="T230" s="276" t="s">
        <v>789</v>
      </c>
      <c r="U230" s="306"/>
      <c r="V230" s="8"/>
      <c r="W230" s="8"/>
      <c r="X230" s="8"/>
      <c r="Y230" s="8"/>
    </row>
    <row r="231" spans="1:25" ht="42" outlineLevel="1">
      <c r="A231" s="221">
        <v>11</v>
      </c>
      <c r="B231" s="221">
        <v>2</v>
      </c>
      <c r="C231" s="222" t="s">
        <v>848</v>
      </c>
      <c r="D231" s="222" t="s">
        <v>263</v>
      </c>
      <c r="E231" s="222" t="s">
        <v>533</v>
      </c>
      <c r="F231" s="221" t="s">
        <v>265</v>
      </c>
      <c r="G231" s="225">
        <v>0</v>
      </c>
      <c r="H231" s="225">
        <f t="shared" si="97"/>
        <v>0</v>
      </c>
      <c r="I231" s="225">
        <f t="shared" si="98"/>
        <v>0</v>
      </c>
      <c r="J231" s="197"/>
      <c r="K231" s="224"/>
      <c r="L231" s="224">
        <f t="shared" si="96"/>
        <v>0</v>
      </c>
      <c r="M231" s="224"/>
      <c r="N231" s="282"/>
      <c r="O231" s="282"/>
      <c r="P231" s="282"/>
      <c r="Q231" s="282"/>
      <c r="R231" s="226">
        <v>0.1</v>
      </c>
      <c r="S231" s="227"/>
      <c r="T231" s="349"/>
      <c r="U231" s="306"/>
      <c r="V231" s="8"/>
      <c r="W231" s="8"/>
      <c r="X231" s="8"/>
      <c r="Y231" s="8"/>
    </row>
    <row r="232" spans="1:25" ht="42" outlineLevel="2">
      <c r="A232" s="221"/>
      <c r="B232" s="221">
        <v>3</v>
      </c>
      <c r="C232" s="222" t="s">
        <v>266</v>
      </c>
      <c r="D232" s="222" t="s">
        <v>830</v>
      </c>
      <c r="E232" s="222"/>
      <c r="F232" s="221" t="s">
        <v>265</v>
      </c>
      <c r="G232" s="225">
        <v>0</v>
      </c>
      <c r="H232" s="225">
        <f t="shared" si="97"/>
        <v>0</v>
      </c>
      <c r="I232" s="225">
        <f t="shared" si="98"/>
        <v>0</v>
      </c>
      <c r="J232" s="197"/>
      <c r="K232" s="224"/>
      <c r="L232" s="224">
        <f t="shared" si="96"/>
        <v>0</v>
      </c>
      <c r="M232" s="224"/>
      <c r="N232" s="282"/>
      <c r="O232" s="282"/>
      <c r="P232" s="282"/>
      <c r="Q232" s="282"/>
      <c r="R232" s="226">
        <v>0.1</v>
      </c>
      <c r="S232" s="227"/>
      <c r="T232" s="349"/>
      <c r="U232" s="306"/>
      <c r="V232" s="8"/>
      <c r="W232" s="8"/>
      <c r="X232" s="8"/>
      <c r="Y232" s="8"/>
    </row>
    <row r="233" spans="1:25" ht="52.5" outlineLevel="2">
      <c r="A233" s="221"/>
      <c r="B233" s="221">
        <v>4</v>
      </c>
      <c r="C233" s="222">
        <v>1.1000000000000001</v>
      </c>
      <c r="D233" s="222" t="s">
        <v>2051</v>
      </c>
      <c r="E233" s="222"/>
      <c r="F233" s="221" t="s">
        <v>265</v>
      </c>
      <c r="G233" s="225">
        <v>0</v>
      </c>
      <c r="H233" s="225">
        <f t="shared" si="97"/>
        <v>0</v>
      </c>
      <c r="I233" s="225">
        <f t="shared" si="98"/>
        <v>0</v>
      </c>
      <c r="J233" s="197"/>
      <c r="K233" s="224">
        <f t="shared" ref="K233:K240" si="124">L233+M233</f>
        <v>24.370767604348639</v>
      </c>
      <c r="L233" s="224">
        <f t="shared" si="96"/>
        <v>2.012265215037961</v>
      </c>
      <c r="M233" s="224">
        <f t="shared" ref="M233:M240" si="125">N233+O233+P233+Q233+S233</f>
        <v>22.358502389310679</v>
      </c>
      <c r="N233" s="282">
        <v>12</v>
      </c>
      <c r="O233" s="282">
        <f>9.67581*调差材料基价表!$E$63/1000+调差材料基价表!$E$64*0.0264+0.2</f>
        <v>8.3259112630097061</v>
      </c>
      <c r="P233" s="282"/>
      <c r="Q233" s="282">
        <v>0</v>
      </c>
      <c r="R233" s="226">
        <v>0.1</v>
      </c>
      <c r="S233" s="227">
        <f t="shared" ref="S233" si="126">SUM(N233:Q233)*R233</f>
        <v>2.0325911263009711</v>
      </c>
      <c r="T233" s="222" t="s">
        <v>302</v>
      </c>
      <c r="U233" s="248"/>
      <c r="V233" s="8"/>
      <c r="W233" s="8"/>
      <c r="X233" s="8"/>
      <c r="Y233" s="8"/>
    </row>
    <row r="234" spans="1:25" ht="31.5" outlineLevel="2">
      <c r="A234" s="221"/>
      <c r="B234" s="221">
        <v>4</v>
      </c>
      <c r="C234" s="222">
        <v>1.2</v>
      </c>
      <c r="D234" s="222" t="s">
        <v>2052</v>
      </c>
      <c r="E234" s="222"/>
      <c r="F234" s="221" t="s">
        <v>265</v>
      </c>
      <c r="G234" s="225">
        <v>0</v>
      </c>
      <c r="H234" s="225">
        <f t="shared" si="97"/>
        <v>0</v>
      </c>
      <c r="I234" s="225">
        <f t="shared" si="98"/>
        <v>0</v>
      </c>
      <c r="J234" s="197"/>
      <c r="K234" s="224">
        <f t="shared" si="124"/>
        <v>0</v>
      </c>
      <c r="L234" s="224">
        <f t="shared" si="96"/>
        <v>0</v>
      </c>
      <c r="M234" s="224">
        <f t="shared" si="125"/>
        <v>0</v>
      </c>
      <c r="N234" s="356"/>
      <c r="O234" s="356"/>
      <c r="P234" s="356"/>
      <c r="Q234" s="356"/>
      <c r="R234" s="226">
        <v>0.1</v>
      </c>
      <c r="S234" s="227">
        <f t="shared" ref="S234:S240" si="127">SUM(N234:Q234)*R234</f>
        <v>0</v>
      </c>
      <c r="T234" s="349"/>
      <c r="U234" s="306"/>
      <c r="V234" s="8"/>
      <c r="W234" s="8"/>
      <c r="X234" s="8"/>
      <c r="Y234" s="8"/>
    </row>
    <row r="235" spans="1:25" ht="31.5" outlineLevel="2">
      <c r="A235" s="221"/>
      <c r="B235" s="221">
        <v>3</v>
      </c>
      <c r="C235" s="222" t="s">
        <v>269</v>
      </c>
      <c r="D235" s="222" t="s">
        <v>316</v>
      </c>
      <c r="E235" s="222"/>
      <c r="F235" s="221" t="s">
        <v>265</v>
      </c>
      <c r="G235" s="225">
        <v>0</v>
      </c>
      <c r="H235" s="225">
        <f t="shared" si="97"/>
        <v>0</v>
      </c>
      <c r="I235" s="225">
        <f t="shared" si="98"/>
        <v>0</v>
      </c>
      <c r="J235" s="197"/>
      <c r="K235" s="224">
        <f t="shared" si="124"/>
        <v>17.3855</v>
      </c>
      <c r="L235" s="224">
        <f t="shared" ref="L235" si="128">M235*0.09</f>
        <v>1.4354999999999998</v>
      </c>
      <c r="M235" s="224">
        <f t="shared" ref="M235" si="129">N235+O235+P235+Q235+S235</f>
        <v>15.95</v>
      </c>
      <c r="N235" s="282">
        <v>8.5</v>
      </c>
      <c r="O235" s="282">
        <v>5</v>
      </c>
      <c r="P235" s="282">
        <v>1</v>
      </c>
      <c r="Q235" s="282">
        <v>0</v>
      </c>
      <c r="R235" s="226">
        <v>0.1</v>
      </c>
      <c r="S235" s="227">
        <f t="shared" ref="S235" si="130">SUM(N235:Q235)*R235</f>
        <v>1.4500000000000002</v>
      </c>
      <c r="T235" s="349"/>
      <c r="U235" s="306"/>
    </row>
    <row r="236" spans="1:25" ht="42" outlineLevel="1">
      <c r="A236" s="221">
        <v>12</v>
      </c>
      <c r="B236" s="221">
        <v>3</v>
      </c>
      <c r="C236" s="222" t="s">
        <v>849</v>
      </c>
      <c r="D236" s="222" t="s">
        <v>263</v>
      </c>
      <c r="E236" s="222" t="s">
        <v>533</v>
      </c>
      <c r="F236" s="221" t="s">
        <v>265</v>
      </c>
      <c r="G236" s="225">
        <v>187.712823913872</v>
      </c>
      <c r="H236" s="225">
        <f t="shared" si="97"/>
        <v>0</v>
      </c>
      <c r="I236" s="225">
        <f t="shared" si="98"/>
        <v>0</v>
      </c>
      <c r="J236" s="197"/>
      <c r="K236" s="224"/>
      <c r="L236" s="224">
        <f t="shared" si="96"/>
        <v>0</v>
      </c>
      <c r="M236" s="224"/>
      <c r="N236" s="282"/>
      <c r="O236" s="282"/>
      <c r="P236" s="282"/>
      <c r="Q236" s="282"/>
      <c r="R236" s="226">
        <v>0.1</v>
      </c>
      <c r="S236" s="227"/>
      <c r="T236" s="349"/>
      <c r="U236" s="306"/>
      <c r="V236" s="8"/>
      <c r="W236" s="8"/>
      <c r="X236" s="8"/>
      <c r="Y236" s="8"/>
    </row>
    <row r="237" spans="1:25" ht="52.5" outlineLevel="2">
      <c r="A237" s="221"/>
      <c r="B237" s="221">
        <v>3</v>
      </c>
      <c r="C237" s="222" t="s">
        <v>266</v>
      </c>
      <c r="D237" s="222" t="s">
        <v>850</v>
      </c>
      <c r="E237" s="222"/>
      <c r="F237" s="221" t="s">
        <v>265</v>
      </c>
      <c r="G237" s="225">
        <v>0</v>
      </c>
      <c r="H237" s="225">
        <f t="shared" si="97"/>
        <v>0</v>
      </c>
      <c r="I237" s="225">
        <f t="shared" si="98"/>
        <v>0</v>
      </c>
      <c r="J237" s="197"/>
      <c r="K237" s="224"/>
      <c r="L237" s="224">
        <f t="shared" si="96"/>
        <v>0</v>
      </c>
      <c r="M237" s="224"/>
      <c r="N237" s="282"/>
      <c r="O237" s="282"/>
      <c r="P237" s="282"/>
      <c r="Q237" s="282"/>
      <c r="R237" s="226">
        <v>0.1</v>
      </c>
      <c r="S237" s="227"/>
      <c r="T237" s="349"/>
      <c r="U237" s="306"/>
      <c r="V237" s="8"/>
      <c r="W237" s="8"/>
      <c r="X237" s="8"/>
      <c r="Y237" s="8"/>
    </row>
    <row r="238" spans="1:25" ht="52.5" outlineLevel="2">
      <c r="A238" s="221"/>
      <c r="B238" s="221">
        <v>4</v>
      </c>
      <c r="C238" s="222">
        <v>1.1000000000000001</v>
      </c>
      <c r="D238" s="222" t="s">
        <v>534</v>
      </c>
      <c r="E238" s="222"/>
      <c r="F238" s="221" t="s">
        <v>265</v>
      </c>
      <c r="G238" s="225">
        <v>187.712823913872</v>
      </c>
      <c r="H238" s="225">
        <f t="shared" si="97"/>
        <v>4177.0327555461117</v>
      </c>
      <c r="I238" s="225">
        <f t="shared" si="98"/>
        <v>4177.0327555461117</v>
      </c>
      <c r="J238" s="197"/>
      <c r="K238" s="224">
        <f t="shared" ref="K238" si="131">L238+M238</f>
        <v>22.252250370825244</v>
      </c>
      <c r="L238" s="224">
        <f t="shared" si="96"/>
        <v>1.8373417737378641</v>
      </c>
      <c r="M238" s="224">
        <f t="shared" ref="M238" si="132">N238+O238+P238+Q238+S238</f>
        <v>20.414908597087379</v>
      </c>
      <c r="N238" s="282">
        <v>12</v>
      </c>
      <c r="O238" s="282">
        <f>7.745*调差材料基价表!$E$63/1000+0.0203*调差材料基价表!$E$64+0.2</f>
        <v>6.5590078155339793</v>
      </c>
      <c r="P238" s="282"/>
      <c r="Q238" s="282"/>
      <c r="R238" s="226">
        <v>0.1</v>
      </c>
      <c r="S238" s="227">
        <f t="shared" ref="S238" si="133">SUM(N238:Q238)*R238</f>
        <v>1.8559007815533981</v>
      </c>
      <c r="T238" s="348" t="s">
        <v>514</v>
      </c>
      <c r="U238" s="248"/>
      <c r="V238" s="8"/>
      <c r="W238" s="8" t="s">
        <v>440</v>
      </c>
      <c r="X238" s="8"/>
      <c r="Y238" s="8"/>
    </row>
    <row r="239" spans="1:25" ht="42" outlineLevel="2">
      <c r="A239" s="221"/>
      <c r="B239" s="221">
        <v>4</v>
      </c>
      <c r="C239" s="222">
        <v>1.2</v>
      </c>
      <c r="D239" s="222" t="s">
        <v>851</v>
      </c>
      <c r="E239" s="222"/>
      <c r="F239" s="221" t="s">
        <v>265</v>
      </c>
      <c r="G239" s="225">
        <v>0</v>
      </c>
      <c r="H239" s="225">
        <f t="shared" si="97"/>
        <v>0</v>
      </c>
      <c r="I239" s="225">
        <f t="shared" si="98"/>
        <v>0</v>
      </c>
      <c r="J239" s="197"/>
      <c r="K239" s="224">
        <f t="shared" si="124"/>
        <v>0</v>
      </c>
      <c r="L239" s="224">
        <f t="shared" si="96"/>
        <v>0</v>
      </c>
      <c r="M239" s="224">
        <f t="shared" si="125"/>
        <v>0</v>
      </c>
      <c r="N239" s="356"/>
      <c r="O239" s="356"/>
      <c r="P239" s="356"/>
      <c r="Q239" s="356"/>
      <c r="R239" s="226">
        <v>0.1</v>
      </c>
      <c r="S239" s="227">
        <f t="shared" si="127"/>
        <v>0</v>
      </c>
      <c r="T239" s="276" t="s">
        <v>789</v>
      </c>
      <c r="U239" s="306"/>
      <c r="V239" s="8"/>
      <c r="X239" s="8"/>
      <c r="Y239" s="8"/>
    </row>
    <row r="240" spans="1:25" ht="168" outlineLevel="2">
      <c r="A240" s="221"/>
      <c r="B240" s="221">
        <v>3</v>
      </c>
      <c r="C240" s="222" t="s">
        <v>269</v>
      </c>
      <c r="D240" s="222" t="s">
        <v>852</v>
      </c>
      <c r="E240" s="222"/>
      <c r="F240" s="221" t="s">
        <v>265</v>
      </c>
      <c r="G240" s="225">
        <v>187.712823913872</v>
      </c>
      <c r="H240" s="225">
        <f t="shared" si="97"/>
        <v>3263.4813001546217</v>
      </c>
      <c r="I240" s="225">
        <f t="shared" si="98"/>
        <v>3263.4813001546217</v>
      </c>
      <c r="J240" s="197"/>
      <c r="K240" s="224">
        <f t="shared" si="124"/>
        <v>17.3855</v>
      </c>
      <c r="L240" s="224">
        <f t="shared" si="96"/>
        <v>1.4354999999999998</v>
      </c>
      <c r="M240" s="224">
        <f t="shared" si="125"/>
        <v>15.95</v>
      </c>
      <c r="N240" s="282">
        <v>8.5</v>
      </c>
      <c r="O240" s="282">
        <v>5</v>
      </c>
      <c r="P240" s="282">
        <v>1</v>
      </c>
      <c r="Q240" s="282">
        <v>0</v>
      </c>
      <c r="R240" s="226">
        <v>0.1</v>
      </c>
      <c r="S240" s="227">
        <f t="shared" si="127"/>
        <v>1.4500000000000002</v>
      </c>
      <c r="T240" s="349"/>
      <c r="U240" s="306"/>
      <c r="V240" s="8"/>
      <c r="W240" s="8" t="s">
        <v>437</v>
      </c>
      <c r="X240" s="8"/>
      <c r="Y240" s="8"/>
    </row>
    <row r="241" spans="1:25" ht="52.5" outlineLevel="2">
      <c r="A241" s="221"/>
      <c r="B241" s="221">
        <v>3</v>
      </c>
      <c r="C241" s="222" t="s">
        <v>275</v>
      </c>
      <c r="D241" s="222" t="s">
        <v>853</v>
      </c>
      <c r="E241" s="222"/>
      <c r="F241" s="221" t="s">
        <v>265</v>
      </c>
      <c r="G241" s="225">
        <v>0</v>
      </c>
      <c r="H241" s="225">
        <f t="shared" si="97"/>
        <v>0</v>
      </c>
      <c r="I241" s="225">
        <f t="shared" si="98"/>
        <v>0</v>
      </c>
      <c r="J241" s="197"/>
      <c r="K241" s="224"/>
      <c r="L241" s="224">
        <f t="shared" si="96"/>
        <v>0</v>
      </c>
      <c r="M241" s="224"/>
      <c r="N241" s="282"/>
      <c r="O241" s="282"/>
      <c r="P241" s="282"/>
      <c r="Q241" s="282"/>
      <c r="R241" s="226">
        <v>0.1</v>
      </c>
      <c r="S241" s="227"/>
      <c r="T241" s="349"/>
      <c r="U241" s="306"/>
      <c r="V241" s="8"/>
      <c r="W241" s="8"/>
      <c r="X241" s="8"/>
      <c r="Y241" s="8"/>
    </row>
    <row r="242" spans="1:25" ht="52.5" outlineLevel="2">
      <c r="A242" s="221"/>
      <c r="B242" s="221">
        <v>4</v>
      </c>
      <c r="C242" s="222">
        <v>3.1</v>
      </c>
      <c r="D242" s="222" t="s">
        <v>854</v>
      </c>
      <c r="E242" s="222"/>
      <c r="F242" s="221" t="s">
        <v>265</v>
      </c>
      <c r="G242" s="225">
        <v>187.712823913872</v>
      </c>
      <c r="H242" s="225">
        <f t="shared" si="97"/>
        <v>4177.0327555461117</v>
      </c>
      <c r="I242" s="225">
        <f t="shared" si="98"/>
        <v>4177.0327555461117</v>
      </c>
      <c r="J242" s="197"/>
      <c r="K242" s="224">
        <f t="shared" ref="K242:K247" si="134">L242+M242</f>
        <v>22.252250370825244</v>
      </c>
      <c r="L242" s="224">
        <f t="shared" si="96"/>
        <v>1.8373417737378641</v>
      </c>
      <c r="M242" s="224">
        <f t="shared" ref="M242:M247" si="135">N242+O242+P242+Q242+S242</f>
        <v>20.414908597087379</v>
      </c>
      <c r="N242" s="282">
        <v>12</v>
      </c>
      <c r="O242" s="282">
        <f>7.745*调差材料基价表!$E$63/1000+0.0203*调差材料基价表!$E$64+0.2</f>
        <v>6.5590078155339793</v>
      </c>
      <c r="P242" s="282"/>
      <c r="Q242" s="282">
        <v>0</v>
      </c>
      <c r="R242" s="226">
        <v>0.1</v>
      </c>
      <c r="S242" s="227">
        <f t="shared" ref="S242:S247" si="136">SUM(N242:Q242)*R242</f>
        <v>1.8559007815533981</v>
      </c>
      <c r="T242" s="348" t="s">
        <v>514</v>
      </c>
      <c r="U242" s="248"/>
      <c r="V242" s="8"/>
      <c r="W242" s="8" t="s">
        <v>435</v>
      </c>
      <c r="X242" s="8"/>
      <c r="Y242" s="8"/>
    </row>
    <row r="243" spans="1:25" ht="42" outlineLevel="2">
      <c r="A243" s="221"/>
      <c r="B243" s="221">
        <v>4</v>
      </c>
      <c r="C243" s="222">
        <v>3.2</v>
      </c>
      <c r="D243" s="222" t="s">
        <v>855</v>
      </c>
      <c r="E243" s="222"/>
      <c r="F243" s="221" t="s">
        <v>265</v>
      </c>
      <c r="G243" s="225">
        <v>0</v>
      </c>
      <c r="H243" s="225">
        <f t="shared" si="97"/>
        <v>0</v>
      </c>
      <c r="I243" s="225">
        <f t="shared" si="98"/>
        <v>0</v>
      </c>
      <c r="J243" s="197"/>
      <c r="K243" s="224">
        <f t="shared" si="134"/>
        <v>0</v>
      </c>
      <c r="L243" s="224">
        <f t="shared" si="96"/>
        <v>0</v>
      </c>
      <c r="M243" s="224">
        <f t="shared" si="135"/>
        <v>0</v>
      </c>
      <c r="N243" s="356"/>
      <c r="O243" s="356"/>
      <c r="P243" s="356"/>
      <c r="Q243" s="356"/>
      <c r="R243" s="226">
        <v>0.1</v>
      </c>
      <c r="S243" s="227">
        <f t="shared" si="136"/>
        <v>0</v>
      </c>
      <c r="T243" s="276" t="s">
        <v>840</v>
      </c>
      <c r="U243" s="306"/>
      <c r="V243" s="8"/>
      <c r="W243" s="8"/>
      <c r="X243" s="8"/>
      <c r="Y243" s="8"/>
    </row>
    <row r="244" spans="1:25" ht="63" outlineLevel="1">
      <c r="A244" s="221">
        <v>13</v>
      </c>
      <c r="B244" s="221">
        <v>2</v>
      </c>
      <c r="C244" s="222" t="s">
        <v>856</v>
      </c>
      <c r="D244" s="222" t="s">
        <v>831</v>
      </c>
      <c r="E244" s="222" t="s">
        <v>857</v>
      </c>
      <c r="F244" s="221" t="s">
        <v>265</v>
      </c>
      <c r="G244" s="225">
        <v>203.29908727134099</v>
      </c>
      <c r="H244" s="225">
        <f t="shared" si="97"/>
        <v>0</v>
      </c>
      <c r="I244" s="225">
        <f t="shared" si="98"/>
        <v>0</v>
      </c>
      <c r="J244" s="197"/>
      <c r="K244" s="224"/>
      <c r="L244" s="224">
        <f t="shared" si="96"/>
        <v>0</v>
      </c>
      <c r="M244" s="224"/>
      <c r="N244" s="364"/>
      <c r="O244" s="364"/>
      <c r="P244" s="364"/>
      <c r="Q244" s="364"/>
      <c r="R244" s="226">
        <v>0.1</v>
      </c>
      <c r="S244" s="365"/>
      <c r="T244" s="366"/>
      <c r="U244" s="246"/>
    </row>
    <row r="245" spans="1:25" ht="21" outlineLevel="2">
      <c r="A245" s="221"/>
      <c r="B245" s="292">
        <v>3</v>
      </c>
      <c r="C245" s="222" t="s">
        <v>266</v>
      </c>
      <c r="D245" s="222" t="s">
        <v>831</v>
      </c>
      <c r="E245" s="222"/>
      <c r="F245" s="221" t="s">
        <v>265</v>
      </c>
      <c r="G245" s="225">
        <v>203.29908727134099</v>
      </c>
      <c r="H245" s="225">
        <f t="shared" si="97"/>
        <v>5894.1525378916886</v>
      </c>
      <c r="I245" s="225">
        <f t="shared" si="98"/>
        <v>5894.1525378916886</v>
      </c>
      <c r="J245" s="197"/>
      <c r="K245" s="224">
        <f>L245+M245</f>
        <v>28.992518446601924</v>
      </c>
      <c r="L245" s="224">
        <f t="shared" si="96"/>
        <v>2.3938776699029112</v>
      </c>
      <c r="M245" s="224">
        <f>N245+O245+P245+Q245+S245</f>
        <v>26.598640776699014</v>
      </c>
      <c r="N245" s="282">
        <v>12</v>
      </c>
      <c r="O245" s="282">
        <f>0.0306*调差材料基价表!E12</f>
        <v>12.180582524271831</v>
      </c>
      <c r="P245" s="282"/>
      <c r="Q245" s="282">
        <v>0</v>
      </c>
      <c r="R245" s="226">
        <v>0.1</v>
      </c>
      <c r="S245" s="227">
        <f>SUM(N245:Q245)*R245</f>
        <v>2.4180582524271834</v>
      </c>
      <c r="T245" s="222" t="s">
        <v>832</v>
      </c>
      <c r="U245" s="248"/>
      <c r="W245" s="9" t="s">
        <v>440</v>
      </c>
    </row>
    <row r="246" spans="1:25" ht="31.5" outlineLevel="1">
      <c r="A246" s="221"/>
      <c r="B246" s="292">
        <v>2</v>
      </c>
      <c r="C246" s="222" t="s">
        <v>858</v>
      </c>
      <c r="D246" s="222" t="s">
        <v>859</v>
      </c>
      <c r="E246" s="222" t="s">
        <v>485</v>
      </c>
      <c r="F246" s="221" t="s">
        <v>265</v>
      </c>
      <c r="G246" s="225">
        <v>406.59817454268301</v>
      </c>
      <c r="H246" s="225">
        <f t="shared" si="97"/>
        <v>2158.5777657303061</v>
      </c>
      <c r="I246" s="225">
        <f t="shared" si="98"/>
        <v>2158.5777657303061</v>
      </c>
      <c r="J246" s="197"/>
      <c r="K246" s="224">
        <f t="shared" si="134"/>
        <v>5.3088722499999994</v>
      </c>
      <c r="L246" s="224">
        <f t="shared" si="96"/>
        <v>0.43834724999999997</v>
      </c>
      <c r="M246" s="224">
        <f t="shared" si="135"/>
        <v>4.8705249999999998</v>
      </c>
      <c r="N246" s="282">
        <v>3.0844999999999998</v>
      </c>
      <c r="O246" s="282">
        <v>0.995</v>
      </c>
      <c r="P246" s="282">
        <v>0.24875</v>
      </c>
      <c r="Q246" s="282">
        <v>9.9500000000000005E-2</v>
      </c>
      <c r="R246" s="226">
        <v>0.1</v>
      </c>
      <c r="S246" s="227">
        <f t="shared" si="136"/>
        <v>0.44277499999999997</v>
      </c>
      <c r="T246" s="349"/>
      <c r="U246" s="292"/>
    </row>
    <row r="247" spans="1:25" ht="63" outlineLevel="1">
      <c r="A247" s="221"/>
      <c r="B247" s="292">
        <v>2</v>
      </c>
      <c r="C247" s="222" t="s">
        <v>860</v>
      </c>
      <c r="D247" s="222" t="s">
        <v>861</v>
      </c>
      <c r="E247" s="222" t="s">
        <v>862</v>
      </c>
      <c r="F247" s="221" t="s">
        <v>265</v>
      </c>
      <c r="G247" s="225">
        <v>90.661712014100601</v>
      </c>
      <c r="H247" s="225">
        <f t="shared" si="97"/>
        <v>4128.8266134141159</v>
      </c>
      <c r="I247" s="225">
        <f t="shared" si="98"/>
        <v>4128.8266134141159</v>
      </c>
      <c r="J247" s="197"/>
      <c r="K247" s="224">
        <f t="shared" si="134"/>
        <v>45.541017500000002</v>
      </c>
      <c r="L247" s="224">
        <f t="shared" si="96"/>
        <v>3.7602675000000003</v>
      </c>
      <c r="M247" s="224">
        <f t="shared" si="135"/>
        <v>41.780750000000005</v>
      </c>
      <c r="N247" s="282">
        <v>28</v>
      </c>
      <c r="O247" s="282">
        <v>0</v>
      </c>
      <c r="P247" s="282">
        <v>8.49</v>
      </c>
      <c r="Q247" s="282">
        <v>1.4924999999999999</v>
      </c>
      <c r="R247" s="226">
        <v>0.1</v>
      </c>
      <c r="S247" s="227">
        <f t="shared" si="136"/>
        <v>3.7982500000000003</v>
      </c>
      <c r="T247" s="349"/>
      <c r="U247" s="222" t="s">
        <v>578</v>
      </c>
    </row>
    <row r="248" spans="1:25" ht="21" outlineLevel="1">
      <c r="A248" s="221">
        <v>14</v>
      </c>
      <c r="B248" s="221">
        <v>2</v>
      </c>
      <c r="C248" s="222" t="s">
        <v>863</v>
      </c>
      <c r="D248" s="222" t="s">
        <v>263</v>
      </c>
      <c r="E248" s="222"/>
      <c r="F248" s="221" t="s">
        <v>265</v>
      </c>
      <c r="G248" s="225">
        <v>0</v>
      </c>
      <c r="H248" s="225"/>
      <c r="I248" s="225"/>
      <c r="J248" s="197"/>
      <c r="K248" s="224"/>
      <c r="L248" s="224"/>
      <c r="M248" s="224"/>
      <c r="N248" s="282"/>
      <c r="O248" s="282"/>
      <c r="P248" s="282"/>
      <c r="Q248" s="282"/>
      <c r="R248" s="226"/>
      <c r="S248" s="227"/>
      <c r="T248" s="349"/>
      <c r="U248" s="306"/>
      <c r="V248" s="11"/>
      <c r="W248" s="11"/>
      <c r="X248" s="11"/>
      <c r="Y248" s="11"/>
    </row>
    <row r="249" spans="1:25" ht="42" outlineLevel="2">
      <c r="A249" s="221"/>
      <c r="B249" s="221">
        <v>3</v>
      </c>
      <c r="C249" s="222" t="s">
        <v>266</v>
      </c>
      <c r="D249" s="222" t="s">
        <v>864</v>
      </c>
      <c r="E249" s="222"/>
      <c r="F249" s="221"/>
      <c r="G249" s="225">
        <v>0</v>
      </c>
      <c r="H249" s="225">
        <f>G249*K249</f>
        <v>0</v>
      </c>
      <c r="I249" s="225">
        <f>G249*K249*(1+J249)</f>
        <v>0</v>
      </c>
      <c r="J249" s="197"/>
      <c r="K249" s="224">
        <f>L249+M249</f>
        <v>227.81</v>
      </c>
      <c r="L249" s="224">
        <f>M249*0.09</f>
        <v>18.809999999999999</v>
      </c>
      <c r="M249" s="224">
        <f>N249+O249+P249+Q249+S249</f>
        <v>209</v>
      </c>
      <c r="N249" s="225">
        <v>40</v>
      </c>
      <c r="O249" s="225">
        <v>150</v>
      </c>
      <c r="P249" s="282"/>
      <c r="Q249" s="225"/>
      <c r="R249" s="226">
        <v>0.1</v>
      </c>
      <c r="S249" s="227">
        <f>SUM(N249:Q249)*R249</f>
        <v>19</v>
      </c>
      <c r="T249" s="349"/>
      <c r="U249" s="306"/>
      <c r="V249" s="11"/>
      <c r="W249" s="11"/>
      <c r="X249" s="11"/>
      <c r="Y249" s="11"/>
    </row>
    <row r="250" spans="1:25" ht="31.5" outlineLevel="2">
      <c r="A250" s="221"/>
      <c r="B250" s="221">
        <v>3</v>
      </c>
      <c r="C250" s="222" t="s">
        <v>269</v>
      </c>
      <c r="D250" s="222" t="s">
        <v>865</v>
      </c>
      <c r="E250" s="222"/>
      <c r="F250" s="221"/>
      <c r="G250" s="225">
        <v>0</v>
      </c>
      <c r="H250" s="225">
        <f>G250*K250</f>
        <v>0</v>
      </c>
      <c r="I250" s="225">
        <f>G250*K250*(1+J250)</f>
        <v>0</v>
      </c>
      <c r="J250" s="197"/>
      <c r="K250" s="224"/>
      <c r="L250" s="224"/>
      <c r="M250" s="224"/>
      <c r="N250" s="282"/>
      <c r="O250" s="282"/>
      <c r="P250" s="282"/>
      <c r="Q250" s="282"/>
      <c r="R250" s="226"/>
      <c r="S250" s="227"/>
      <c r="T250" s="349"/>
      <c r="U250" s="306"/>
      <c r="V250" s="11"/>
      <c r="W250" s="11"/>
      <c r="X250" s="11"/>
      <c r="Y250" s="11"/>
    </row>
    <row r="251" spans="1:25" ht="52.5" outlineLevel="2">
      <c r="A251" s="221"/>
      <c r="B251" s="221">
        <v>4</v>
      </c>
      <c r="C251" s="222">
        <v>1.1000000000000001</v>
      </c>
      <c r="D251" s="222" t="s">
        <v>809</v>
      </c>
      <c r="E251" s="222"/>
      <c r="F251" s="221" t="s">
        <v>265</v>
      </c>
      <c r="G251" s="225">
        <v>0</v>
      </c>
      <c r="H251" s="225">
        <f t="shared" ref="H251:H260" si="137">G251*K251</f>
        <v>0</v>
      </c>
      <c r="I251" s="225">
        <f t="shared" ref="I251:I260" si="138">G251*K251*(1+J251)</f>
        <v>0</v>
      </c>
      <c r="J251" s="197"/>
      <c r="K251" s="224">
        <f t="shared" ref="K251:K255" si="139">L251+M251</f>
        <v>24.370767604348639</v>
      </c>
      <c r="L251" s="224">
        <f t="shared" ref="L251:L264" si="140">M251*0.09</f>
        <v>2.012265215037961</v>
      </c>
      <c r="M251" s="224">
        <f t="shared" ref="M251:M255" si="141">N251+O251+P251+Q251+S251</f>
        <v>22.358502389310679</v>
      </c>
      <c r="N251" s="282">
        <v>12</v>
      </c>
      <c r="O251" s="282">
        <f>9.67581*调差材料基价表!$E$63/1000+调差材料基价表!$E$64*0.0264+0.2</f>
        <v>8.3259112630097061</v>
      </c>
      <c r="P251" s="282"/>
      <c r="Q251" s="282">
        <v>0</v>
      </c>
      <c r="R251" s="226">
        <v>0.1</v>
      </c>
      <c r="S251" s="227">
        <f t="shared" ref="S251:S255" si="142">SUM(N251:Q251)*R251</f>
        <v>2.0325911263009711</v>
      </c>
      <c r="T251" s="222" t="s">
        <v>302</v>
      </c>
      <c r="U251" s="248"/>
      <c r="V251" s="11"/>
      <c r="W251" s="11"/>
      <c r="X251" s="11"/>
      <c r="Y251" s="11"/>
    </row>
    <row r="252" spans="1:25" ht="31.5" outlineLevel="2">
      <c r="A252" s="221"/>
      <c r="B252" s="221">
        <v>4</v>
      </c>
      <c r="C252" s="222">
        <v>1.2</v>
      </c>
      <c r="D252" s="222" t="s">
        <v>810</v>
      </c>
      <c r="E252" s="222"/>
      <c r="F252" s="221" t="s">
        <v>265</v>
      </c>
      <c r="G252" s="225">
        <v>0</v>
      </c>
      <c r="H252" s="225">
        <f t="shared" si="137"/>
        <v>0</v>
      </c>
      <c r="I252" s="225">
        <f t="shared" si="138"/>
        <v>0</v>
      </c>
      <c r="J252" s="197"/>
      <c r="K252" s="224">
        <f t="shared" si="139"/>
        <v>0</v>
      </c>
      <c r="L252" s="224">
        <f t="shared" si="140"/>
        <v>0</v>
      </c>
      <c r="M252" s="224">
        <f t="shared" si="141"/>
        <v>0</v>
      </c>
      <c r="N252" s="356"/>
      <c r="O252" s="356"/>
      <c r="P252" s="356"/>
      <c r="Q252" s="356"/>
      <c r="R252" s="226">
        <v>0.1</v>
      </c>
      <c r="S252" s="227">
        <f t="shared" si="142"/>
        <v>0</v>
      </c>
      <c r="T252" s="349"/>
      <c r="U252" s="306"/>
      <c r="V252" s="11"/>
      <c r="W252" s="11"/>
      <c r="X252" s="11"/>
      <c r="Y252" s="11"/>
    </row>
    <row r="253" spans="1:25" ht="157.5" outlineLevel="2">
      <c r="A253" s="221"/>
      <c r="B253" s="221">
        <v>3</v>
      </c>
      <c r="C253" s="222" t="s">
        <v>275</v>
      </c>
      <c r="D253" s="222" t="s">
        <v>866</v>
      </c>
      <c r="E253" s="222"/>
      <c r="F253" s="221" t="s">
        <v>265</v>
      </c>
      <c r="G253" s="225">
        <v>0</v>
      </c>
      <c r="H253" s="225">
        <f t="shared" si="137"/>
        <v>0</v>
      </c>
      <c r="I253" s="225">
        <f t="shared" si="138"/>
        <v>0</v>
      </c>
      <c r="J253" s="197"/>
      <c r="K253" s="224">
        <f t="shared" si="139"/>
        <v>17.3855</v>
      </c>
      <c r="L253" s="224">
        <f t="shared" si="140"/>
        <v>1.4354999999999998</v>
      </c>
      <c r="M253" s="224">
        <f t="shared" si="141"/>
        <v>15.95</v>
      </c>
      <c r="N253" s="282">
        <v>8.5</v>
      </c>
      <c r="O253" s="282">
        <v>5</v>
      </c>
      <c r="P253" s="282">
        <v>1</v>
      </c>
      <c r="Q253" s="282">
        <v>0</v>
      </c>
      <c r="R253" s="226">
        <v>0.1</v>
      </c>
      <c r="S253" s="227">
        <f t="shared" si="142"/>
        <v>1.4500000000000002</v>
      </c>
      <c r="T253" s="349"/>
      <c r="U253" s="306"/>
      <c r="V253" s="11"/>
      <c r="W253" s="11"/>
      <c r="X253" s="11"/>
      <c r="Y253" s="11"/>
    </row>
    <row r="254" spans="1:25" ht="52.5" outlineLevel="2">
      <c r="A254" s="221"/>
      <c r="B254" s="221">
        <v>3</v>
      </c>
      <c r="C254" s="367" t="s">
        <v>278</v>
      </c>
      <c r="D254" s="222" t="s">
        <v>2021</v>
      </c>
      <c r="E254" s="222" t="s">
        <v>482</v>
      </c>
      <c r="F254" s="221" t="s">
        <v>162</v>
      </c>
      <c r="G254" s="225">
        <v>0</v>
      </c>
      <c r="H254" s="225">
        <f t="shared" si="137"/>
        <v>0</v>
      </c>
      <c r="I254" s="225">
        <f t="shared" si="138"/>
        <v>0</v>
      </c>
      <c r="J254" s="197"/>
      <c r="K254" s="224">
        <f t="shared" si="139"/>
        <v>664.84550000000002</v>
      </c>
      <c r="L254" s="224">
        <f t="shared" si="140"/>
        <v>54.895500000000006</v>
      </c>
      <c r="M254" s="224">
        <f t="shared" si="141"/>
        <v>609.95000000000005</v>
      </c>
      <c r="N254" s="221">
        <v>50</v>
      </c>
      <c r="O254" s="221">
        <f>500</f>
        <v>500</v>
      </c>
      <c r="P254" s="282">
        <v>3</v>
      </c>
      <c r="Q254" s="282">
        <v>1.5</v>
      </c>
      <c r="R254" s="226">
        <v>0.1</v>
      </c>
      <c r="S254" s="227">
        <f t="shared" si="142"/>
        <v>55.45</v>
      </c>
      <c r="T254" s="349"/>
      <c r="U254" s="355"/>
      <c r="V254" s="11"/>
      <c r="W254" s="11"/>
      <c r="X254" s="11"/>
      <c r="Y254" s="11"/>
    </row>
    <row r="255" spans="1:25" ht="73.5" outlineLevel="2">
      <c r="A255" s="221"/>
      <c r="B255" s="221">
        <v>3</v>
      </c>
      <c r="C255" s="222" t="s">
        <v>308</v>
      </c>
      <c r="D255" s="222" t="s">
        <v>803</v>
      </c>
      <c r="E255" s="222"/>
      <c r="F255" s="221" t="s">
        <v>265</v>
      </c>
      <c r="G255" s="225">
        <v>0</v>
      </c>
      <c r="H255" s="225">
        <f t="shared" si="137"/>
        <v>0</v>
      </c>
      <c r="I255" s="225">
        <f t="shared" si="138"/>
        <v>0</v>
      </c>
      <c r="J255" s="197"/>
      <c r="K255" s="224">
        <f t="shared" si="139"/>
        <v>33.860691262135902</v>
      </c>
      <c r="L255" s="224">
        <f t="shared" si="140"/>
        <v>2.7958368932038815</v>
      </c>
      <c r="M255" s="224">
        <f t="shared" si="141"/>
        <v>31.064854368932018</v>
      </c>
      <c r="N255" s="282">
        <v>12</v>
      </c>
      <c r="O255" s="282">
        <f>0.0408*调差材料基价表!E12</f>
        <v>16.240776699029109</v>
      </c>
      <c r="P255" s="282"/>
      <c r="Q255" s="282">
        <v>0</v>
      </c>
      <c r="R255" s="226">
        <v>0.1</v>
      </c>
      <c r="S255" s="227">
        <f t="shared" si="142"/>
        <v>2.8240776699029109</v>
      </c>
      <c r="T255" s="276" t="s">
        <v>281</v>
      </c>
      <c r="U255" s="306"/>
      <c r="V255" s="11"/>
      <c r="W255" s="11"/>
      <c r="X255" s="11"/>
      <c r="Y255" s="11"/>
    </row>
    <row r="256" spans="1:25" ht="21" outlineLevel="1">
      <c r="A256" s="221">
        <v>15</v>
      </c>
      <c r="B256" s="292">
        <v>2</v>
      </c>
      <c r="C256" s="222" t="s">
        <v>867</v>
      </c>
      <c r="D256" s="222" t="s">
        <v>868</v>
      </c>
      <c r="E256" s="222"/>
      <c r="F256" s="221" t="s">
        <v>265</v>
      </c>
      <c r="G256" s="225">
        <v>0</v>
      </c>
      <c r="H256" s="225">
        <f t="shared" si="137"/>
        <v>0</v>
      </c>
      <c r="I256" s="225">
        <f t="shared" si="138"/>
        <v>0</v>
      </c>
      <c r="J256" s="197"/>
      <c r="K256" s="224">
        <f t="shared" ref="K256:K260" si="143">L256+M256</f>
        <v>41.103582524271808</v>
      </c>
      <c r="L256" s="224">
        <f t="shared" si="140"/>
        <v>3.3938737864077635</v>
      </c>
      <c r="M256" s="224">
        <f t="shared" ref="M256:M260" si="144">N256+O256+P256+Q256+S256</f>
        <v>37.709708737864041</v>
      </c>
      <c r="N256" s="282">
        <v>10</v>
      </c>
      <c r="O256" s="282">
        <f>0.061*调差材料基价表!E12</f>
        <v>24.281553398058225</v>
      </c>
      <c r="P256" s="282"/>
      <c r="Q256" s="282">
        <v>0</v>
      </c>
      <c r="R256" s="226">
        <v>0.1</v>
      </c>
      <c r="S256" s="227">
        <f t="shared" ref="S256:S260" si="145">SUM(N256:Q256)*R256</f>
        <v>3.4281553398058224</v>
      </c>
      <c r="T256" s="247" t="s">
        <v>253</v>
      </c>
      <c r="U256" s="248"/>
    </row>
    <row r="257" spans="1:25" ht="21" outlineLevel="1">
      <c r="A257" s="221">
        <v>16</v>
      </c>
      <c r="B257" s="292">
        <v>2</v>
      </c>
      <c r="C257" s="222" t="s">
        <v>869</v>
      </c>
      <c r="D257" s="222" t="s">
        <v>870</v>
      </c>
      <c r="E257" s="222"/>
      <c r="F257" s="221" t="s">
        <v>265</v>
      </c>
      <c r="G257" s="225">
        <v>0</v>
      </c>
      <c r="H257" s="225">
        <f t="shared" si="137"/>
        <v>0</v>
      </c>
      <c r="I257" s="225">
        <f t="shared" si="138"/>
        <v>0</v>
      </c>
      <c r="J257" s="197"/>
      <c r="K257" s="224">
        <f t="shared" si="143"/>
        <v>41.103582524271808</v>
      </c>
      <c r="L257" s="224">
        <f t="shared" si="140"/>
        <v>3.3938737864077635</v>
      </c>
      <c r="M257" s="224">
        <f t="shared" si="144"/>
        <v>37.709708737864041</v>
      </c>
      <c r="N257" s="282">
        <v>10</v>
      </c>
      <c r="O257" s="282">
        <f>0.061*调差材料基价表!E11</f>
        <v>24.281553398058225</v>
      </c>
      <c r="P257" s="282"/>
      <c r="Q257" s="282">
        <v>0</v>
      </c>
      <c r="R257" s="226">
        <v>0.1</v>
      </c>
      <c r="S257" s="227">
        <f t="shared" si="145"/>
        <v>3.4281553398058224</v>
      </c>
      <c r="T257" s="247" t="s">
        <v>253</v>
      </c>
      <c r="U257" s="248"/>
    </row>
    <row r="258" spans="1:25" ht="42" outlineLevel="1">
      <c r="A258" s="221">
        <v>17</v>
      </c>
      <c r="B258" s="292">
        <v>2</v>
      </c>
      <c r="C258" s="222" t="s">
        <v>871</v>
      </c>
      <c r="D258" s="222" t="s">
        <v>872</v>
      </c>
      <c r="E258" s="222"/>
      <c r="F258" s="221" t="s">
        <v>265</v>
      </c>
      <c r="G258" s="225">
        <v>0</v>
      </c>
      <c r="H258" s="225">
        <f t="shared" si="137"/>
        <v>0</v>
      </c>
      <c r="I258" s="225">
        <f t="shared" si="138"/>
        <v>0</v>
      </c>
      <c r="J258" s="197"/>
      <c r="K258" s="224">
        <f t="shared" si="143"/>
        <v>47.426410077669871</v>
      </c>
      <c r="L258" s="224">
        <f t="shared" si="140"/>
        <v>3.9159421165048518</v>
      </c>
      <c r="M258" s="224">
        <f t="shared" si="144"/>
        <v>43.51046796116502</v>
      </c>
      <c r="N258" s="282">
        <v>14</v>
      </c>
      <c r="O258" s="282">
        <f>0.051*调差材料基价表!E12</f>
        <v>20.300970873786383</v>
      </c>
      <c r="P258" s="282">
        <f>(1/0.15)*0.222*一级钢综合/1000</f>
        <v>5.2539999999999996</v>
      </c>
      <c r="Q258" s="282">
        <v>0</v>
      </c>
      <c r="R258" s="226">
        <v>0.1</v>
      </c>
      <c r="S258" s="227">
        <f t="shared" si="145"/>
        <v>3.9554970873786384</v>
      </c>
      <c r="T258" s="247" t="s">
        <v>253</v>
      </c>
      <c r="U258" s="248"/>
    </row>
    <row r="259" spans="1:25" ht="42" outlineLevel="1">
      <c r="A259" s="221">
        <v>18</v>
      </c>
      <c r="B259" s="292">
        <v>2</v>
      </c>
      <c r="C259" s="222" t="s">
        <v>873</v>
      </c>
      <c r="D259" s="222" t="s">
        <v>874</v>
      </c>
      <c r="E259" s="222"/>
      <c r="F259" s="221" t="s">
        <v>265</v>
      </c>
      <c r="G259" s="225">
        <v>0</v>
      </c>
      <c r="H259" s="225">
        <f t="shared" si="137"/>
        <v>0</v>
      </c>
      <c r="I259" s="225">
        <f t="shared" si="138"/>
        <v>0</v>
      </c>
      <c r="J259" s="197"/>
      <c r="K259" s="224">
        <f t="shared" si="143"/>
        <v>56.812880524271812</v>
      </c>
      <c r="L259" s="224">
        <f t="shared" si="140"/>
        <v>4.690971786407764</v>
      </c>
      <c r="M259" s="224">
        <f t="shared" si="144"/>
        <v>52.121908737864047</v>
      </c>
      <c r="N259" s="282">
        <v>14</v>
      </c>
      <c r="O259" s="282">
        <f>0.061*调差材料基价表!E12</f>
        <v>24.281553398058225</v>
      </c>
      <c r="P259" s="282">
        <f>(1/0.2)*2*0.222*4.1</f>
        <v>9.1020000000000003</v>
      </c>
      <c r="Q259" s="282">
        <v>0</v>
      </c>
      <c r="R259" s="226">
        <v>0.1</v>
      </c>
      <c r="S259" s="227">
        <f t="shared" si="145"/>
        <v>4.7383553398058229</v>
      </c>
      <c r="T259" s="247" t="s">
        <v>253</v>
      </c>
      <c r="U259" s="248"/>
    </row>
    <row r="260" spans="1:25" ht="42" outlineLevel="1">
      <c r="A260" s="221">
        <v>19</v>
      </c>
      <c r="B260" s="292">
        <v>2</v>
      </c>
      <c r="C260" s="222" t="s">
        <v>873</v>
      </c>
      <c r="D260" s="222" t="s">
        <v>875</v>
      </c>
      <c r="E260" s="222" t="s">
        <v>876</v>
      </c>
      <c r="F260" s="221" t="s">
        <v>265</v>
      </c>
      <c r="G260" s="225">
        <v>0</v>
      </c>
      <c r="H260" s="225">
        <f t="shared" si="137"/>
        <v>0</v>
      </c>
      <c r="I260" s="225">
        <f t="shared" si="138"/>
        <v>0</v>
      </c>
      <c r="J260" s="197"/>
      <c r="K260" s="224">
        <f t="shared" si="143"/>
        <v>74.198366555339746</v>
      </c>
      <c r="L260" s="224">
        <f t="shared" si="140"/>
        <v>6.1264706330097036</v>
      </c>
      <c r="M260" s="224">
        <f t="shared" si="144"/>
        <v>68.071895922330043</v>
      </c>
      <c r="N260" s="282">
        <v>14</v>
      </c>
      <c r="O260" s="282">
        <f>0.102*调差材料基价表!E12</f>
        <v>40.601941747572766</v>
      </c>
      <c r="P260" s="282">
        <f>(1/0.25)*2*0.222*4.1</f>
        <v>7.2815999999999992</v>
      </c>
      <c r="Q260" s="282">
        <v>0</v>
      </c>
      <c r="R260" s="226">
        <v>0.1</v>
      </c>
      <c r="S260" s="227">
        <f t="shared" si="145"/>
        <v>6.1883541747572766</v>
      </c>
      <c r="T260" s="247" t="s">
        <v>253</v>
      </c>
      <c r="U260" s="248"/>
    </row>
    <row r="261" spans="1:25" ht="13.5">
      <c r="A261" s="292"/>
      <c r="B261" s="292"/>
      <c r="C261" s="211" t="s">
        <v>248</v>
      </c>
      <c r="D261" s="222"/>
      <c r="E261" s="222"/>
      <c r="F261" s="221"/>
      <c r="G261" s="225">
        <v>0</v>
      </c>
      <c r="H261" s="344">
        <f>SUM(H145:H260)</f>
        <v>15855897.103975113</v>
      </c>
      <c r="I261" s="344">
        <f>SUM(I145:I260)</f>
        <v>15855897.103975113</v>
      </c>
      <c r="J261" s="221"/>
      <c r="K261" s="224"/>
      <c r="L261" s="224">
        <f t="shared" si="140"/>
        <v>0</v>
      </c>
      <c r="M261" s="224"/>
      <c r="N261" s="368"/>
      <c r="O261" s="368"/>
      <c r="P261" s="368"/>
      <c r="Q261" s="368"/>
      <c r="R261" s="226">
        <v>0.1</v>
      </c>
      <c r="S261" s="292"/>
      <c r="T261" s="247"/>
      <c r="U261" s="248"/>
    </row>
    <row r="262" spans="1:25" ht="13.5">
      <c r="A262" s="292" t="s">
        <v>76</v>
      </c>
      <c r="B262" s="359">
        <v>1</v>
      </c>
      <c r="C262" s="211" t="s">
        <v>580</v>
      </c>
      <c r="D262" s="222"/>
      <c r="E262" s="211"/>
      <c r="F262" s="221" t="s">
        <v>581</v>
      </c>
      <c r="G262" s="225">
        <v>0</v>
      </c>
      <c r="H262" s="221"/>
      <c r="I262" s="221"/>
      <c r="J262" s="221"/>
      <c r="K262" s="224">
        <f t="shared" ref="K262" si="146">L262+M262</f>
        <v>0</v>
      </c>
      <c r="L262" s="224">
        <f t="shared" si="140"/>
        <v>0</v>
      </c>
      <c r="M262" s="224">
        <f t="shared" ref="M262" si="147">N262+O262+P262+Q262+S262</f>
        <v>0</v>
      </c>
      <c r="N262" s="368"/>
      <c r="O262" s="368"/>
      <c r="P262" s="368"/>
      <c r="Q262" s="368"/>
      <c r="R262" s="226">
        <v>0.1</v>
      </c>
      <c r="S262" s="362"/>
      <c r="T262" s="362"/>
      <c r="U262" s="369"/>
    </row>
    <row r="263" spans="1:25" ht="52.5" outlineLevel="1">
      <c r="A263" s="370">
        <v>1</v>
      </c>
      <c r="B263" s="370">
        <v>2</v>
      </c>
      <c r="C263" s="222" t="s">
        <v>877</v>
      </c>
      <c r="D263" s="222" t="s">
        <v>263</v>
      </c>
      <c r="E263" s="222" t="s">
        <v>878</v>
      </c>
      <c r="F263" s="221" t="s">
        <v>265</v>
      </c>
      <c r="G263" s="225">
        <v>159076.69533536601</v>
      </c>
      <c r="H263" s="225">
        <f t="shared" ref="H263" si="148">G263*K263</f>
        <v>0</v>
      </c>
      <c r="I263" s="225">
        <f t="shared" ref="I263" si="149">G263*K263*(1+J263)</f>
        <v>0</v>
      </c>
      <c r="J263" s="197"/>
      <c r="K263" s="224"/>
      <c r="L263" s="224">
        <f t="shared" si="140"/>
        <v>0</v>
      </c>
      <c r="M263" s="224"/>
      <c r="N263" s="364"/>
      <c r="O263" s="364"/>
      <c r="P263" s="364"/>
      <c r="Q263" s="364"/>
      <c r="R263" s="226">
        <v>0.1</v>
      </c>
      <c r="S263" s="365"/>
      <c r="T263" s="371"/>
      <c r="U263" s="248"/>
    </row>
    <row r="264" spans="1:25" ht="31.5" outlineLevel="2">
      <c r="A264" s="370"/>
      <c r="B264" s="370">
        <v>3</v>
      </c>
      <c r="C264" s="372" t="s">
        <v>266</v>
      </c>
      <c r="D264" s="222" t="s">
        <v>879</v>
      </c>
      <c r="E264" s="222"/>
      <c r="F264" s="221" t="s">
        <v>265</v>
      </c>
      <c r="G264" s="225">
        <v>0</v>
      </c>
      <c r="H264" s="225">
        <f t="shared" ref="H264:H328" si="150">G264*K264</f>
        <v>0</v>
      </c>
      <c r="I264" s="225">
        <f t="shared" ref="I264:I328" si="151">G264*K264*(1+J264)</f>
        <v>0</v>
      </c>
      <c r="J264" s="197"/>
      <c r="K264" s="224">
        <f t="shared" ref="K264:K271" si="152">L264+M264</f>
        <v>0</v>
      </c>
      <c r="L264" s="224">
        <f t="shared" si="140"/>
        <v>0</v>
      </c>
      <c r="M264" s="224">
        <f t="shared" ref="M264:M271" si="153">N264+O264+P264+Q264+S264</f>
        <v>0</v>
      </c>
      <c r="N264" s="282"/>
      <c r="O264" s="282"/>
      <c r="P264" s="282"/>
      <c r="Q264" s="282">
        <v>0</v>
      </c>
      <c r="R264" s="226">
        <v>0.1</v>
      </c>
      <c r="S264" s="227">
        <f t="shared" ref="S264:S271" si="154">SUM(N264:Q264)*R264</f>
        <v>0</v>
      </c>
      <c r="T264" s="371"/>
      <c r="U264" s="248"/>
    </row>
    <row r="265" spans="1:25" ht="52.5" outlineLevel="2">
      <c r="A265" s="370"/>
      <c r="B265" s="221">
        <v>4</v>
      </c>
      <c r="C265" s="222">
        <v>1.1000000000000001</v>
      </c>
      <c r="D265" s="222" t="s">
        <v>466</v>
      </c>
      <c r="E265" s="222"/>
      <c r="F265" s="221" t="s">
        <v>265</v>
      </c>
      <c r="G265" s="225">
        <v>159076.69533536601</v>
      </c>
      <c r="H265" s="225">
        <f t="shared" si="150"/>
        <v>3736269.3992043692</v>
      </c>
      <c r="I265" s="225">
        <f t="shared" si="151"/>
        <v>3736269.3992043692</v>
      </c>
      <c r="J265" s="197"/>
      <c r="K265" s="224">
        <f t="shared" ref="K265:K266" si="155">L265+M265</f>
        <v>23.487220370825241</v>
      </c>
      <c r="L265" s="224">
        <f t="shared" ref="L265:L273" si="156">M265*0.09</f>
        <v>1.939311773737864</v>
      </c>
      <c r="M265" s="224">
        <f t="shared" ref="M265:M266" si="157">N265+O265+P265+Q265+S265</f>
        <v>21.547908597087378</v>
      </c>
      <c r="N265" s="282">
        <v>12</v>
      </c>
      <c r="O265" s="282">
        <f>7.745*调差材料基价表!$E$63/1000+0.0203*调差材料基价表!$E$64</f>
        <v>6.3590078155339791</v>
      </c>
      <c r="P265" s="282">
        <v>1.23</v>
      </c>
      <c r="Q265" s="282"/>
      <c r="R265" s="226">
        <v>0.1</v>
      </c>
      <c r="S265" s="227">
        <f t="shared" ref="S265:S266" si="158">SUM(N265:Q265)*R265</f>
        <v>1.9589007815533979</v>
      </c>
      <c r="T265" s="348" t="s">
        <v>514</v>
      </c>
      <c r="U265" s="248"/>
    </row>
    <row r="266" spans="1:25" ht="31.5" outlineLevel="2">
      <c r="A266" s="370"/>
      <c r="B266" s="221">
        <v>4</v>
      </c>
      <c r="C266" s="222">
        <v>1.2</v>
      </c>
      <c r="D266" s="222" t="s">
        <v>748</v>
      </c>
      <c r="E266" s="222"/>
      <c r="F266" s="221" t="s">
        <v>265</v>
      </c>
      <c r="G266" s="225">
        <v>0</v>
      </c>
      <c r="H266" s="225">
        <f t="shared" si="150"/>
        <v>0</v>
      </c>
      <c r="I266" s="225">
        <f t="shared" si="151"/>
        <v>0</v>
      </c>
      <c r="J266" s="197"/>
      <c r="K266" s="224">
        <f t="shared" si="155"/>
        <v>24.233652524271839</v>
      </c>
      <c r="L266" s="224">
        <f t="shared" si="156"/>
        <v>2.0009437864077664</v>
      </c>
      <c r="M266" s="224">
        <f t="shared" si="157"/>
        <v>22.232708737864073</v>
      </c>
      <c r="N266" s="282">
        <v>12</v>
      </c>
      <c r="O266" s="282">
        <f>0.0153*调差材料基价表!E43</f>
        <v>6.9815533980582449</v>
      </c>
      <c r="P266" s="282">
        <v>1.23</v>
      </c>
      <c r="Q266" s="282"/>
      <c r="R266" s="226">
        <v>0.1</v>
      </c>
      <c r="S266" s="227">
        <f t="shared" si="158"/>
        <v>2.0211553398058246</v>
      </c>
      <c r="T266" s="348" t="s">
        <v>789</v>
      </c>
      <c r="U266" s="248"/>
    </row>
    <row r="267" spans="1:25" ht="63" outlineLevel="2">
      <c r="A267" s="370"/>
      <c r="B267" s="370">
        <v>3</v>
      </c>
      <c r="C267" s="372" t="s">
        <v>269</v>
      </c>
      <c r="D267" s="222" t="s">
        <v>880</v>
      </c>
      <c r="E267" s="222"/>
      <c r="F267" s="221" t="s">
        <v>265</v>
      </c>
      <c r="G267" s="225">
        <v>159076.69533536601</v>
      </c>
      <c r="H267" s="225">
        <f t="shared" si="150"/>
        <v>2193429.0136316945</v>
      </c>
      <c r="I267" s="225">
        <f t="shared" si="151"/>
        <v>2193429.0136316945</v>
      </c>
      <c r="J267" s="197"/>
      <c r="K267" s="224">
        <f t="shared" si="152"/>
        <v>13.788500000000001</v>
      </c>
      <c r="L267" s="224">
        <f t="shared" si="156"/>
        <v>1.1385000000000001</v>
      </c>
      <c r="M267" s="224">
        <f t="shared" si="153"/>
        <v>12.65</v>
      </c>
      <c r="N267" s="282">
        <v>5.5</v>
      </c>
      <c r="O267" s="282">
        <v>6</v>
      </c>
      <c r="P267" s="282">
        <v>0</v>
      </c>
      <c r="Q267" s="282">
        <v>0</v>
      </c>
      <c r="R267" s="226">
        <v>0.1</v>
      </c>
      <c r="S267" s="227">
        <f t="shared" si="154"/>
        <v>1.1500000000000001</v>
      </c>
      <c r="T267" s="341" t="s">
        <v>591</v>
      </c>
      <c r="U267" s="303" t="s">
        <v>592</v>
      </c>
      <c r="W267" s="9"/>
    </row>
    <row r="268" spans="1:25" ht="63" outlineLevel="1">
      <c r="A268" s="370">
        <v>2</v>
      </c>
      <c r="B268" s="221">
        <v>2</v>
      </c>
      <c r="C268" s="222" t="s">
        <v>881</v>
      </c>
      <c r="D268" s="222" t="s">
        <v>263</v>
      </c>
      <c r="E268" s="222" t="s">
        <v>882</v>
      </c>
      <c r="F268" s="221" t="s">
        <v>265</v>
      </c>
      <c r="G268" s="225">
        <v>0</v>
      </c>
      <c r="H268" s="225">
        <f t="shared" si="150"/>
        <v>0</v>
      </c>
      <c r="I268" s="225">
        <f t="shared" si="151"/>
        <v>0</v>
      </c>
      <c r="J268" s="197"/>
      <c r="K268" s="224"/>
      <c r="L268" s="224">
        <f t="shared" si="156"/>
        <v>0</v>
      </c>
      <c r="M268" s="224"/>
      <c r="N268" s="305"/>
      <c r="O268" s="305"/>
      <c r="P268" s="305"/>
      <c r="Q268" s="305"/>
      <c r="R268" s="226">
        <v>0.1</v>
      </c>
      <c r="S268" s="306"/>
      <c r="T268" s="276"/>
      <c r="U268" s="248"/>
      <c r="V268" s="8"/>
      <c r="W268" s="8"/>
      <c r="X268" s="8"/>
      <c r="Y268" s="8"/>
    </row>
    <row r="269" spans="1:25" ht="21" outlineLevel="2">
      <c r="A269" s="370"/>
      <c r="B269" s="221">
        <v>3</v>
      </c>
      <c r="C269" s="372" t="s">
        <v>266</v>
      </c>
      <c r="D269" s="222" t="s">
        <v>614</v>
      </c>
      <c r="E269" s="222"/>
      <c r="F269" s="303" t="s">
        <v>265</v>
      </c>
      <c r="G269" s="225">
        <v>0</v>
      </c>
      <c r="H269" s="225">
        <f t="shared" si="150"/>
        <v>0</v>
      </c>
      <c r="I269" s="225">
        <f t="shared" si="151"/>
        <v>0</v>
      </c>
      <c r="J269" s="197"/>
      <c r="K269" s="224">
        <f t="shared" ref="K269" si="159">L269+M269</f>
        <v>13.788500000000001</v>
      </c>
      <c r="L269" s="224">
        <f t="shared" si="156"/>
        <v>1.1385000000000001</v>
      </c>
      <c r="M269" s="224">
        <f t="shared" ref="M269" si="160">N269+O269+P269+Q269+S269</f>
        <v>12.65</v>
      </c>
      <c r="N269" s="282">
        <v>5.5</v>
      </c>
      <c r="O269" s="282">
        <v>6</v>
      </c>
      <c r="P269" s="282">
        <v>0</v>
      </c>
      <c r="Q269" s="282">
        <v>0</v>
      </c>
      <c r="R269" s="226">
        <v>0.1</v>
      </c>
      <c r="S269" s="227">
        <f t="shared" ref="S269" si="161">SUM(N269:Q269)*R269</f>
        <v>1.1500000000000001</v>
      </c>
      <c r="T269" s="341" t="s">
        <v>591</v>
      </c>
      <c r="U269" s="303" t="s">
        <v>592</v>
      </c>
      <c r="V269" s="8"/>
      <c r="W269" s="8"/>
      <c r="X269" s="8"/>
      <c r="Y269" s="8"/>
    </row>
    <row r="270" spans="1:25" ht="21" outlineLevel="2">
      <c r="A270" s="370"/>
      <c r="B270" s="221">
        <v>3</v>
      </c>
      <c r="C270" s="222" t="s">
        <v>269</v>
      </c>
      <c r="D270" s="222" t="s">
        <v>883</v>
      </c>
      <c r="E270" s="222"/>
      <c r="F270" s="303" t="s">
        <v>265</v>
      </c>
      <c r="G270" s="225">
        <v>0</v>
      </c>
      <c r="H270" s="225">
        <f t="shared" si="150"/>
        <v>0</v>
      </c>
      <c r="I270" s="225">
        <f t="shared" si="151"/>
        <v>0</v>
      </c>
      <c r="J270" s="197"/>
      <c r="K270" s="224">
        <f t="shared" si="152"/>
        <v>25.178400499999995</v>
      </c>
      <c r="L270" s="224">
        <f t="shared" si="156"/>
        <v>2.0789504999999995</v>
      </c>
      <c r="M270" s="224">
        <f t="shared" si="153"/>
        <v>23.099449999999997</v>
      </c>
      <c r="N270" s="282">
        <f>基准地下室土建清单!N253</f>
        <v>14</v>
      </c>
      <c r="O270" s="282">
        <v>6</v>
      </c>
      <c r="P270" s="282">
        <v>0.9</v>
      </c>
      <c r="Q270" s="282">
        <v>9.9500000000000005E-2</v>
      </c>
      <c r="R270" s="226">
        <v>0.1</v>
      </c>
      <c r="S270" s="227">
        <f t="shared" si="154"/>
        <v>2.0999499999999998</v>
      </c>
      <c r="T270" s="276"/>
      <c r="U270" s="248"/>
      <c r="V270" s="8"/>
      <c r="W270" s="8"/>
      <c r="X270" s="8"/>
      <c r="Y270" s="8"/>
    </row>
    <row r="271" spans="1:25" ht="13.5" outlineLevel="2">
      <c r="A271" s="370"/>
      <c r="B271" s="221">
        <v>3</v>
      </c>
      <c r="C271" s="222" t="s">
        <v>275</v>
      </c>
      <c r="D271" s="222" t="s">
        <v>884</v>
      </c>
      <c r="E271" s="222"/>
      <c r="F271" s="303" t="s">
        <v>265</v>
      </c>
      <c r="G271" s="225">
        <v>0</v>
      </c>
      <c r="H271" s="225">
        <f t="shared" si="150"/>
        <v>0</v>
      </c>
      <c r="I271" s="225">
        <f t="shared" si="151"/>
        <v>0</v>
      </c>
      <c r="J271" s="197"/>
      <c r="K271" s="224">
        <f t="shared" si="152"/>
        <v>5.3955000000000002</v>
      </c>
      <c r="L271" s="224">
        <f t="shared" si="156"/>
        <v>0.44550000000000001</v>
      </c>
      <c r="M271" s="224">
        <f t="shared" si="153"/>
        <v>4.95</v>
      </c>
      <c r="N271" s="282">
        <f>N264</f>
        <v>0</v>
      </c>
      <c r="O271" s="282">
        <v>4.5</v>
      </c>
      <c r="P271" s="282"/>
      <c r="Q271" s="282">
        <v>0</v>
      </c>
      <c r="R271" s="226">
        <v>0.1</v>
      </c>
      <c r="S271" s="227">
        <f t="shared" si="154"/>
        <v>0.45</v>
      </c>
      <c r="T271" s="276"/>
      <c r="U271" s="248"/>
      <c r="V271" s="8"/>
      <c r="W271" s="8"/>
      <c r="X271" s="8"/>
      <c r="Y271" s="8"/>
    </row>
    <row r="272" spans="1:25" ht="73.5" outlineLevel="1">
      <c r="A272" s="370">
        <v>3</v>
      </c>
      <c r="B272" s="221">
        <v>2</v>
      </c>
      <c r="C272" s="222" t="s">
        <v>885</v>
      </c>
      <c r="D272" s="222" t="s">
        <v>263</v>
      </c>
      <c r="E272" s="222" t="s">
        <v>886</v>
      </c>
      <c r="F272" s="221" t="s">
        <v>265</v>
      </c>
      <c r="G272" s="225">
        <v>0</v>
      </c>
      <c r="H272" s="225">
        <f t="shared" si="150"/>
        <v>0</v>
      </c>
      <c r="I272" s="225">
        <f t="shared" si="151"/>
        <v>0</v>
      </c>
      <c r="J272" s="197"/>
      <c r="K272" s="224"/>
      <c r="L272" s="224">
        <f t="shared" si="156"/>
        <v>0</v>
      </c>
      <c r="M272" s="224"/>
      <c r="N272" s="305"/>
      <c r="O272" s="305"/>
      <c r="P272" s="305"/>
      <c r="Q272" s="305"/>
      <c r="R272" s="226">
        <v>0.1</v>
      </c>
      <c r="S272" s="306"/>
      <c r="T272" s="276"/>
      <c r="U272" s="248"/>
      <c r="V272" s="8"/>
      <c r="W272" s="8"/>
      <c r="X272" s="8"/>
      <c r="Y272" s="8"/>
    </row>
    <row r="273" spans="1:25" ht="21" outlineLevel="2">
      <c r="A273" s="370"/>
      <c r="B273" s="221">
        <v>3</v>
      </c>
      <c r="C273" s="372" t="s">
        <v>266</v>
      </c>
      <c r="D273" s="222" t="s">
        <v>883</v>
      </c>
      <c r="E273" s="222"/>
      <c r="F273" s="221" t="s">
        <v>265</v>
      </c>
      <c r="G273" s="225">
        <v>0</v>
      </c>
      <c r="H273" s="225">
        <f t="shared" si="150"/>
        <v>0</v>
      </c>
      <c r="I273" s="225">
        <f t="shared" si="151"/>
        <v>0</v>
      </c>
      <c r="J273" s="197"/>
      <c r="K273" s="224">
        <f t="shared" ref="K273:K274" si="162">L273+M273</f>
        <v>25.178400499999995</v>
      </c>
      <c r="L273" s="224">
        <f t="shared" si="156"/>
        <v>2.0789504999999995</v>
      </c>
      <c r="M273" s="224">
        <f t="shared" ref="M273:M274" si="163">N273+O273+P273+Q273+S273</f>
        <v>23.099449999999997</v>
      </c>
      <c r="N273" s="282">
        <f>N270</f>
        <v>14</v>
      </c>
      <c r="O273" s="282">
        <v>6</v>
      </c>
      <c r="P273" s="282">
        <v>0.9</v>
      </c>
      <c r="Q273" s="282">
        <v>9.9500000000000005E-2</v>
      </c>
      <c r="R273" s="226">
        <v>0.1</v>
      </c>
      <c r="S273" s="227">
        <f t="shared" ref="S273:S274" si="164">SUM(N273:Q273)*R273</f>
        <v>2.0999499999999998</v>
      </c>
      <c r="T273" s="276"/>
      <c r="U273" s="248"/>
      <c r="V273" s="8"/>
      <c r="W273" s="8"/>
      <c r="X273" s="8"/>
      <c r="Y273" s="8"/>
    </row>
    <row r="274" spans="1:25" ht="24" outlineLevel="2">
      <c r="A274" s="370"/>
      <c r="B274" s="221">
        <v>3</v>
      </c>
      <c r="C274" s="222" t="s">
        <v>269</v>
      </c>
      <c r="D274" s="222" t="s">
        <v>884</v>
      </c>
      <c r="E274" s="222"/>
      <c r="F274" s="221" t="s">
        <v>265</v>
      </c>
      <c r="G274" s="225">
        <v>0</v>
      </c>
      <c r="H274" s="225">
        <f t="shared" si="150"/>
        <v>0</v>
      </c>
      <c r="I274" s="225">
        <f t="shared" si="151"/>
        <v>0</v>
      </c>
      <c r="J274" s="197"/>
      <c r="K274" s="224">
        <f t="shared" si="162"/>
        <v>5.3955000000000002</v>
      </c>
      <c r="L274" s="224">
        <f t="shared" ref="L274:L302" si="165">M274*0.09</f>
        <v>0.44550000000000001</v>
      </c>
      <c r="M274" s="224">
        <f t="shared" si="163"/>
        <v>4.95</v>
      </c>
      <c r="N274" s="282">
        <f>N271</f>
        <v>0</v>
      </c>
      <c r="O274" s="282">
        <v>4.5</v>
      </c>
      <c r="P274" s="282">
        <f>P271</f>
        <v>0</v>
      </c>
      <c r="Q274" s="282">
        <v>0</v>
      </c>
      <c r="R274" s="226">
        <v>0.1</v>
      </c>
      <c r="S274" s="227">
        <f t="shared" si="164"/>
        <v>0.45</v>
      </c>
      <c r="T274" s="276"/>
      <c r="U274" s="248"/>
      <c r="V274" s="8" t="s">
        <v>887</v>
      </c>
      <c r="W274" s="8"/>
      <c r="X274" s="8"/>
      <c r="Y274" s="8"/>
    </row>
    <row r="275" spans="1:25" ht="63" outlineLevel="1">
      <c r="A275" s="370">
        <v>4</v>
      </c>
      <c r="B275" s="221">
        <v>2</v>
      </c>
      <c r="C275" s="222" t="s">
        <v>888</v>
      </c>
      <c r="D275" s="222" t="s">
        <v>263</v>
      </c>
      <c r="E275" s="222" t="s">
        <v>889</v>
      </c>
      <c r="F275" s="221" t="s">
        <v>265</v>
      </c>
      <c r="G275" s="225">
        <v>43225.258317454303</v>
      </c>
      <c r="H275" s="225">
        <f t="shared" si="150"/>
        <v>0</v>
      </c>
      <c r="I275" s="225">
        <f t="shared" si="151"/>
        <v>0</v>
      </c>
      <c r="J275" s="197"/>
      <c r="K275" s="224"/>
      <c r="L275" s="224">
        <f t="shared" si="165"/>
        <v>0</v>
      </c>
      <c r="M275" s="224"/>
      <c r="N275" s="282"/>
      <c r="O275" s="282"/>
      <c r="P275" s="282"/>
      <c r="Q275" s="282"/>
      <c r="R275" s="226">
        <v>0.1</v>
      </c>
      <c r="S275" s="227"/>
      <c r="T275" s="372"/>
      <c r="U275" s="248"/>
    </row>
    <row r="276" spans="1:25" ht="21" outlineLevel="2">
      <c r="A276" s="370"/>
      <c r="B276" s="221">
        <v>3</v>
      </c>
      <c r="C276" s="372" t="s">
        <v>266</v>
      </c>
      <c r="D276" s="222" t="s">
        <v>890</v>
      </c>
      <c r="E276" s="222"/>
      <c r="F276" s="221" t="s">
        <v>265</v>
      </c>
      <c r="G276" s="225">
        <v>43225.258317454303</v>
      </c>
      <c r="H276" s="225">
        <f t="shared" si="150"/>
        <v>777406.27083941561</v>
      </c>
      <c r="I276" s="225">
        <f t="shared" si="151"/>
        <v>777406.27083941561</v>
      </c>
      <c r="J276" s="197"/>
      <c r="K276" s="224">
        <f t="shared" ref="K276:K280" si="166">L276+M276</f>
        <v>17.984999999999999</v>
      </c>
      <c r="L276" s="224">
        <f t="shared" si="165"/>
        <v>1.4849999999999999</v>
      </c>
      <c r="M276" s="224">
        <f t="shared" ref="M276:M280" si="167">N276+O276+P276+Q276+S276</f>
        <v>16.5</v>
      </c>
      <c r="N276" s="282">
        <v>9</v>
      </c>
      <c r="O276" s="282">
        <v>6</v>
      </c>
      <c r="P276" s="282">
        <v>0</v>
      </c>
      <c r="Q276" s="282">
        <v>0</v>
      </c>
      <c r="R276" s="226">
        <v>0.1</v>
      </c>
      <c r="S276" s="227">
        <f t="shared" ref="S276:S277" si="168">SUM(N276:Q276)*R276</f>
        <v>1.5</v>
      </c>
      <c r="T276" s="341" t="s">
        <v>591</v>
      </c>
      <c r="U276" s="248"/>
      <c r="W276" s="9"/>
    </row>
    <row r="277" spans="1:25" ht="31.5" outlineLevel="2">
      <c r="A277" s="370"/>
      <c r="B277" s="221">
        <v>3</v>
      </c>
      <c r="C277" s="222" t="s">
        <v>269</v>
      </c>
      <c r="D277" s="222" t="s">
        <v>891</v>
      </c>
      <c r="E277" s="222"/>
      <c r="F277" s="221" t="s">
        <v>265</v>
      </c>
      <c r="G277" s="225">
        <v>43225.258317454303</v>
      </c>
      <c r="H277" s="225">
        <f t="shared" si="150"/>
        <v>596011.47431021871</v>
      </c>
      <c r="I277" s="225">
        <f t="shared" si="151"/>
        <v>596011.47431021871</v>
      </c>
      <c r="J277" s="197"/>
      <c r="K277" s="224">
        <f t="shared" si="166"/>
        <v>13.788500000000001</v>
      </c>
      <c r="L277" s="224">
        <f t="shared" si="165"/>
        <v>1.1385000000000001</v>
      </c>
      <c r="M277" s="224">
        <f t="shared" si="167"/>
        <v>12.65</v>
      </c>
      <c r="N277" s="282">
        <v>5.5</v>
      </c>
      <c r="O277" s="282">
        <v>6</v>
      </c>
      <c r="P277" s="282">
        <v>0</v>
      </c>
      <c r="Q277" s="282">
        <v>0</v>
      </c>
      <c r="R277" s="226">
        <v>0.1</v>
      </c>
      <c r="S277" s="227">
        <f t="shared" si="168"/>
        <v>1.1500000000000001</v>
      </c>
      <c r="T277" s="341" t="s">
        <v>591</v>
      </c>
      <c r="U277" s="303" t="s">
        <v>592</v>
      </c>
    </row>
    <row r="278" spans="1:25" ht="31.5" outlineLevel="2">
      <c r="A278" s="370"/>
      <c r="B278" s="370">
        <v>3</v>
      </c>
      <c r="C278" s="222" t="s">
        <v>275</v>
      </c>
      <c r="D278" s="222" t="s">
        <v>879</v>
      </c>
      <c r="E278" s="222"/>
      <c r="F278" s="221" t="s">
        <v>265</v>
      </c>
      <c r="G278" s="225">
        <v>43225.258317454303</v>
      </c>
      <c r="H278" s="225">
        <f t="shared" si="150"/>
        <v>0</v>
      </c>
      <c r="I278" s="225">
        <f t="shared" si="151"/>
        <v>0</v>
      </c>
      <c r="J278" s="197"/>
      <c r="K278" s="224">
        <f t="shared" si="166"/>
        <v>0</v>
      </c>
      <c r="L278" s="224">
        <f t="shared" si="165"/>
        <v>0</v>
      </c>
      <c r="M278" s="224">
        <f t="shared" si="167"/>
        <v>0</v>
      </c>
      <c r="N278" s="282"/>
      <c r="O278" s="282"/>
      <c r="P278" s="282"/>
      <c r="Q278" s="282"/>
      <c r="R278" s="226"/>
      <c r="S278" s="227"/>
      <c r="T278" s="371"/>
      <c r="U278" s="248"/>
    </row>
    <row r="279" spans="1:25" ht="52.5" outlineLevel="2">
      <c r="A279" s="370"/>
      <c r="B279" s="221">
        <v>4</v>
      </c>
      <c r="C279" s="222">
        <v>1.1000000000000001</v>
      </c>
      <c r="D279" s="222" t="s">
        <v>466</v>
      </c>
      <c r="E279" s="222"/>
      <c r="F279" s="221" t="s">
        <v>265</v>
      </c>
      <c r="G279" s="225">
        <v>43225.258317454303</v>
      </c>
      <c r="H279" s="225">
        <f t="shared" ref="H279" si="169">G279*K279</f>
        <v>1015241.1676878959</v>
      </c>
      <c r="I279" s="225">
        <f t="shared" ref="I279" si="170">G279*K279*(1+J279)</f>
        <v>1015241.1676878959</v>
      </c>
      <c r="J279" s="197"/>
      <c r="K279" s="224">
        <f t="shared" si="166"/>
        <v>23.487220370825241</v>
      </c>
      <c r="L279" s="224">
        <f t="shared" si="165"/>
        <v>1.939311773737864</v>
      </c>
      <c r="M279" s="224">
        <f t="shared" si="167"/>
        <v>21.547908597087378</v>
      </c>
      <c r="N279" s="282">
        <v>12</v>
      </c>
      <c r="O279" s="282">
        <f>7.745*调差材料基价表!$E$63/1000+0.0203*调差材料基价表!$E$64</f>
        <v>6.3590078155339791</v>
      </c>
      <c r="P279" s="282">
        <v>1.23</v>
      </c>
      <c r="Q279" s="282"/>
      <c r="R279" s="226">
        <v>0.1</v>
      </c>
      <c r="S279" s="227">
        <f t="shared" ref="S279:S280" si="171">SUM(N279:Q279)*R279</f>
        <v>1.9589007815533979</v>
      </c>
      <c r="T279" s="348" t="s">
        <v>514</v>
      </c>
      <c r="U279" s="248"/>
    </row>
    <row r="280" spans="1:25" ht="31.5" outlineLevel="2">
      <c r="A280" s="370"/>
      <c r="B280" s="221">
        <v>4</v>
      </c>
      <c r="C280" s="222">
        <v>1.2</v>
      </c>
      <c r="D280" s="222" t="s">
        <v>748</v>
      </c>
      <c r="E280" s="222"/>
      <c r="F280" s="221" t="s">
        <v>265</v>
      </c>
      <c r="G280" s="225">
        <v>0</v>
      </c>
      <c r="H280" s="225">
        <f t="shared" si="150"/>
        <v>0</v>
      </c>
      <c r="I280" s="225">
        <f t="shared" si="151"/>
        <v>0</v>
      </c>
      <c r="J280" s="197"/>
      <c r="K280" s="224">
        <f t="shared" si="166"/>
        <v>24.233652524271839</v>
      </c>
      <c r="L280" s="224">
        <f t="shared" si="165"/>
        <v>2.0009437864077664</v>
      </c>
      <c r="M280" s="224">
        <f t="shared" si="167"/>
        <v>22.232708737864073</v>
      </c>
      <c r="N280" s="282">
        <v>12</v>
      </c>
      <c r="O280" s="282">
        <f>0.0153*调差材料基价表!E43</f>
        <v>6.9815533980582449</v>
      </c>
      <c r="P280" s="282">
        <v>1.23</v>
      </c>
      <c r="Q280" s="282"/>
      <c r="R280" s="226">
        <v>0.1</v>
      </c>
      <c r="S280" s="227">
        <f t="shared" si="171"/>
        <v>2.0211553398058246</v>
      </c>
      <c r="T280" s="348" t="s">
        <v>789</v>
      </c>
      <c r="U280" s="248"/>
    </row>
    <row r="281" spans="1:25" ht="52.5" outlineLevel="1">
      <c r="A281" s="370">
        <v>5</v>
      </c>
      <c r="B281" s="221">
        <v>2</v>
      </c>
      <c r="C281" s="222" t="s">
        <v>892</v>
      </c>
      <c r="D281" s="222" t="s">
        <v>263</v>
      </c>
      <c r="E281" s="222" t="s">
        <v>893</v>
      </c>
      <c r="F281" s="221" t="s">
        <v>265</v>
      </c>
      <c r="G281" s="225">
        <v>16253.6652182546</v>
      </c>
      <c r="H281" s="225">
        <f t="shared" si="150"/>
        <v>0</v>
      </c>
      <c r="I281" s="225">
        <f t="shared" si="151"/>
        <v>0</v>
      </c>
      <c r="J281" s="197"/>
      <c r="K281" s="224">
        <f t="shared" ref="K281:K282" si="172">L281+M281</f>
        <v>0</v>
      </c>
      <c r="L281" s="224">
        <f t="shared" si="165"/>
        <v>0</v>
      </c>
      <c r="M281" s="224"/>
      <c r="N281" s="282"/>
      <c r="O281" s="282"/>
      <c r="P281" s="282"/>
      <c r="Q281" s="282"/>
      <c r="R281" s="226">
        <v>0.1</v>
      </c>
      <c r="S281" s="227"/>
      <c r="T281" s="372"/>
      <c r="U281" s="248"/>
    </row>
    <row r="282" spans="1:25" ht="21" outlineLevel="2">
      <c r="A282" s="370"/>
      <c r="B282" s="221">
        <v>3</v>
      </c>
      <c r="C282" s="372" t="s">
        <v>266</v>
      </c>
      <c r="D282" s="222" t="s">
        <v>894</v>
      </c>
      <c r="E282" s="222"/>
      <c r="F282" s="221" t="s">
        <v>265</v>
      </c>
      <c r="G282" s="225">
        <v>16253.6652182546</v>
      </c>
      <c r="H282" s="225">
        <f t="shared" si="150"/>
        <v>165649.22907184175</v>
      </c>
      <c r="I282" s="225">
        <f t="shared" si="151"/>
        <v>165649.22907184175</v>
      </c>
      <c r="J282" s="197"/>
      <c r="K282" s="224">
        <f t="shared" si="172"/>
        <v>10.1915</v>
      </c>
      <c r="L282" s="224">
        <f t="shared" si="165"/>
        <v>0.84149999999999991</v>
      </c>
      <c r="M282" s="224">
        <f t="shared" ref="M282" si="173">N282+O282+P282+Q282+S282</f>
        <v>9.35</v>
      </c>
      <c r="N282" s="282">
        <v>5</v>
      </c>
      <c r="O282" s="282">
        <v>3</v>
      </c>
      <c r="P282" s="282">
        <v>0.5</v>
      </c>
      <c r="Q282" s="282"/>
      <c r="R282" s="226">
        <v>0.1</v>
      </c>
      <c r="S282" s="227">
        <f>SUM(N282:Q282)*R282</f>
        <v>0.85000000000000009</v>
      </c>
      <c r="T282" s="348"/>
      <c r="U282" s="248"/>
    </row>
    <row r="283" spans="1:25" ht="73.5" outlineLevel="1">
      <c r="A283" s="370">
        <v>6</v>
      </c>
      <c r="B283" s="221">
        <v>2</v>
      </c>
      <c r="C283" s="222" t="s">
        <v>895</v>
      </c>
      <c r="D283" s="222" t="s">
        <v>263</v>
      </c>
      <c r="E283" s="222" t="s">
        <v>886</v>
      </c>
      <c r="F283" s="221" t="s">
        <v>265</v>
      </c>
      <c r="G283" s="225">
        <v>64000.488854801799</v>
      </c>
      <c r="H283" s="225">
        <f t="shared" si="150"/>
        <v>0</v>
      </c>
      <c r="I283" s="225">
        <f t="shared" si="151"/>
        <v>0</v>
      </c>
      <c r="J283" s="197"/>
      <c r="K283" s="224"/>
      <c r="L283" s="224">
        <f t="shared" si="165"/>
        <v>0</v>
      </c>
      <c r="M283" s="224"/>
      <c r="N283" s="282"/>
      <c r="O283" s="282"/>
      <c r="P283" s="282"/>
      <c r="Q283" s="282"/>
      <c r="R283" s="226">
        <v>0.1</v>
      </c>
      <c r="S283" s="227"/>
      <c r="T283" s="372"/>
      <c r="U283" s="248"/>
    </row>
    <row r="284" spans="1:25" ht="220.5" outlineLevel="2">
      <c r="A284" s="370"/>
      <c r="B284" s="221"/>
      <c r="C284" s="372" t="s">
        <v>266</v>
      </c>
      <c r="D284" s="222" t="s">
        <v>896</v>
      </c>
      <c r="E284" s="222"/>
      <c r="F284" s="303" t="s">
        <v>265</v>
      </c>
      <c r="G284" s="225">
        <v>64000.488854801799</v>
      </c>
      <c r="H284" s="225">
        <f t="shared" si="150"/>
        <v>1112680.4989851566</v>
      </c>
      <c r="I284" s="225">
        <f t="shared" si="151"/>
        <v>1112680.4989851566</v>
      </c>
      <c r="J284" s="197"/>
      <c r="K284" s="224">
        <f>L284+M284</f>
        <v>17.3855</v>
      </c>
      <c r="L284" s="224">
        <f t="shared" si="165"/>
        <v>1.4354999999999998</v>
      </c>
      <c r="M284" s="224">
        <f>N284+O284+P284+Q284+S284</f>
        <v>15.95</v>
      </c>
      <c r="N284" s="282">
        <v>8.5</v>
      </c>
      <c r="O284" s="282">
        <v>5</v>
      </c>
      <c r="P284" s="282">
        <v>1</v>
      </c>
      <c r="Q284" s="282">
        <v>0</v>
      </c>
      <c r="R284" s="226">
        <v>0.1</v>
      </c>
      <c r="S284" s="227">
        <f>SUM(N284:Q284)*R284</f>
        <v>1.4500000000000002</v>
      </c>
      <c r="T284" s="372"/>
      <c r="U284" s="248"/>
      <c r="V284" s="9"/>
    </row>
    <row r="285" spans="1:25" ht="84" outlineLevel="2">
      <c r="A285" s="370"/>
      <c r="B285" s="221"/>
      <c r="C285" s="222" t="s">
        <v>269</v>
      </c>
      <c r="D285" s="222" t="s">
        <v>897</v>
      </c>
      <c r="E285" s="222"/>
      <c r="F285" s="221" t="s">
        <v>265</v>
      </c>
      <c r="G285" s="225">
        <v>0</v>
      </c>
      <c r="H285" s="225">
        <f t="shared" si="150"/>
        <v>0</v>
      </c>
      <c r="I285" s="225">
        <f t="shared" si="151"/>
        <v>0</v>
      </c>
      <c r="J285" s="197"/>
      <c r="K285" s="224"/>
      <c r="L285" s="224">
        <f t="shared" si="165"/>
        <v>0</v>
      </c>
      <c r="M285" s="224"/>
      <c r="N285" s="282"/>
      <c r="O285" s="282"/>
      <c r="P285" s="282"/>
      <c r="Q285" s="282"/>
      <c r="R285" s="226">
        <v>0.1</v>
      </c>
      <c r="S285" s="282"/>
      <c r="T285" s="372"/>
      <c r="U285" s="248"/>
    </row>
    <row r="286" spans="1:25" ht="52.5" outlineLevel="2">
      <c r="A286" s="370"/>
      <c r="B286" s="221"/>
      <c r="C286" s="222">
        <v>2.1</v>
      </c>
      <c r="D286" s="222" t="s">
        <v>898</v>
      </c>
      <c r="E286" s="222"/>
      <c r="F286" s="221" t="s">
        <v>265</v>
      </c>
      <c r="G286" s="225">
        <v>64000.488854801799</v>
      </c>
      <c r="H286" s="225">
        <f t="shared" si="150"/>
        <v>1503193.5855732746</v>
      </c>
      <c r="I286" s="225">
        <f t="shared" si="151"/>
        <v>1503193.5855732746</v>
      </c>
      <c r="J286" s="197"/>
      <c r="K286" s="224">
        <f t="shared" ref="K286:K287" si="174">L286+M286</f>
        <v>23.487220370825241</v>
      </c>
      <c r="L286" s="224">
        <f t="shared" si="165"/>
        <v>1.939311773737864</v>
      </c>
      <c r="M286" s="224">
        <f t="shared" ref="M286:M287" si="175">N286+O286+P286+Q286+S286</f>
        <v>21.547908597087378</v>
      </c>
      <c r="N286" s="282">
        <v>12</v>
      </c>
      <c r="O286" s="282">
        <f>7.745*调差材料基价表!$E$63/1000+0.0203*调差材料基价表!$E$64</f>
        <v>6.3590078155339791</v>
      </c>
      <c r="P286" s="282">
        <v>1.23</v>
      </c>
      <c r="Q286" s="282"/>
      <c r="R286" s="226">
        <v>0.1</v>
      </c>
      <c r="S286" s="227">
        <f t="shared" ref="S286:S287" si="176">SUM(N286:Q286)*R286</f>
        <v>1.9589007815533979</v>
      </c>
      <c r="T286" s="348" t="s">
        <v>514</v>
      </c>
      <c r="U286" s="248"/>
    </row>
    <row r="287" spans="1:25" ht="31.5" outlineLevel="2">
      <c r="A287" s="370"/>
      <c r="B287" s="221"/>
      <c r="C287" s="222">
        <v>2.2000000000000002</v>
      </c>
      <c r="D287" s="222" t="s">
        <v>515</v>
      </c>
      <c r="E287" s="222"/>
      <c r="F287" s="221" t="s">
        <v>265</v>
      </c>
      <c r="G287" s="225">
        <v>0</v>
      </c>
      <c r="H287" s="225">
        <f t="shared" si="150"/>
        <v>0</v>
      </c>
      <c r="I287" s="225">
        <f t="shared" si="151"/>
        <v>0</v>
      </c>
      <c r="J287" s="197"/>
      <c r="K287" s="224">
        <f t="shared" si="174"/>
        <v>24.233652524271839</v>
      </c>
      <c r="L287" s="224">
        <f t="shared" si="165"/>
        <v>2.0009437864077664</v>
      </c>
      <c r="M287" s="224">
        <f t="shared" si="175"/>
        <v>22.232708737864073</v>
      </c>
      <c r="N287" s="282">
        <v>12</v>
      </c>
      <c r="O287" s="282">
        <f>0.0153*调差材料基价表!E43</f>
        <v>6.9815533980582449</v>
      </c>
      <c r="P287" s="282">
        <v>1.23</v>
      </c>
      <c r="Q287" s="282"/>
      <c r="R287" s="226">
        <v>0.1</v>
      </c>
      <c r="S287" s="227">
        <f t="shared" si="176"/>
        <v>2.0211553398058246</v>
      </c>
      <c r="T287" s="348" t="s">
        <v>789</v>
      </c>
      <c r="U287" s="248"/>
    </row>
    <row r="288" spans="1:25" ht="73.5" outlineLevel="1">
      <c r="A288" s="370">
        <v>7</v>
      </c>
      <c r="B288" s="221">
        <v>2</v>
      </c>
      <c r="C288" s="222" t="s">
        <v>899</v>
      </c>
      <c r="D288" s="222" t="s">
        <v>263</v>
      </c>
      <c r="E288" s="222" t="s">
        <v>900</v>
      </c>
      <c r="F288" s="221" t="s">
        <v>265</v>
      </c>
      <c r="G288" s="225">
        <v>0</v>
      </c>
      <c r="H288" s="225">
        <f t="shared" si="150"/>
        <v>0</v>
      </c>
      <c r="I288" s="225">
        <f t="shared" si="151"/>
        <v>0</v>
      </c>
      <c r="J288" s="197"/>
      <c r="K288" s="224"/>
      <c r="L288" s="224">
        <f t="shared" si="165"/>
        <v>0</v>
      </c>
      <c r="M288" s="224"/>
      <c r="N288" s="282"/>
      <c r="O288" s="282"/>
      <c r="P288" s="282"/>
      <c r="Q288" s="282"/>
      <c r="R288" s="226">
        <v>0.1</v>
      </c>
      <c r="S288" s="227"/>
      <c r="T288" s="372"/>
      <c r="U288" s="248"/>
    </row>
    <row r="289" spans="1:21" ht="52.5" outlineLevel="2">
      <c r="A289" s="370"/>
      <c r="B289" s="370">
        <v>3</v>
      </c>
      <c r="C289" s="372" t="s">
        <v>266</v>
      </c>
      <c r="D289" s="222" t="s">
        <v>879</v>
      </c>
      <c r="E289" s="222"/>
      <c r="F289" s="221" t="s">
        <v>265</v>
      </c>
      <c r="G289" s="225">
        <v>0</v>
      </c>
      <c r="H289" s="225">
        <f t="shared" si="150"/>
        <v>0</v>
      </c>
      <c r="I289" s="225">
        <f t="shared" si="151"/>
        <v>0</v>
      </c>
      <c r="J289" s="197"/>
      <c r="K289" s="224">
        <f t="shared" ref="K289:K290" si="177">L289+M289</f>
        <v>23.487220370825241</v>
      </c>
      <c r="L289" s="224">
        <f t="shared" ref="L289:L290" si="178">M289*0.09</f>
        <v>1.939311773737864</v>
      </c>
      <c r="M289" s="224">
        <f t="shared" ref="M289:M290" si="179">N289+O289+P289+Q289+S289</f>
        <v>21.547908597087378</v>
      </c>
      <c r="N289" s="282">
        <v>12</v>
      </c>
      <c r="O289" s="282">
        <f>7.745*调差材料基价表!$E$63/1000+0.0203*调差材料基价表!$E$64</f>
        <v>6.3590078155339791</v>
      </c>
      <c r="P289" s="282">
        <v>1.23</v>
      </c>
      <c r="Q289" s="282"/>
      <c r="R289" s="226">
        <v>0.1</v>
      </c>
      <c r="S289" s="227">
        <f t="shared" ref="S289:S290" si="180">SUM(N289:Q289)*R289</f>
        <v>1.9589007815533979</v>
      </c>
      <c r="T289" s="348" t="s">
        <v>514</v>
      </c>
      <c r="U289" s="248"/>
    </row>
    <row r="290" spans="1:21" ht="31.5" outlineLevel="2">
      <c r="A290" s="370"/>
      <c r="B290" s="221">
        <v>4</v>
      </c>
      <c r="C290" s="222">
        <v>1.1000000000000001</v>
      </c>
      <c r="D290" s="222" t="s">
        <v>466</v>
      </c>
      <c r="E290" s="222"/>
      <c r="F290" s="221" t="s">
        <v>265</v>
      </c>
      <c r="G290" s="225">
        <v>0</v>
      </c>
      <c r="H290" s="225">
        <f t="shared" si="150"/>
        <v>0</v>
      </c>
      <c r="I290" s="225">
        <f t="shared" si="151"/>
        <v>0</v>
      </c>
      <c r="J290" s="197"/>
      <c r="K290" s="224">
        <f t="shared" si="177"/>
        <v>24.233652524271839</v>
      </c>
      <c r="L290" s="224">
        <f t="shared" si="178"/>
        <v>2.0009437864077664</v>
      </c>
      <c r="M290" s="224">
        <f t="shared" si="179"/>
        <v>22.232708737864073</v>
      </c>
      <c r="N290" s="282">
        <v>12</v>
      </c>
      <c r="O290" s="282">
        <f>0.0153*调差材料基价表!E43</f>
        <v>6.9815533980582449</v>
      </c>
      <c r="P290" s="282">
        <v>1.23</v>
      </c>
      <c r="Q290" s="282"/>
      <c r="R290" s="226">
        <v>0.1</v>
      </c>
      <c r="S290" s="227">
        <f t="shared" si="180"/>
        <v>2.0211553398058246</v>
      </c>
      <c r="T290" s="348" t="s">
        <v>789</v>
      </c>
      <c r="U290" s="248"/>
    </row>
    <row r="291" spans="1:21" ht="21" outlineLevel="2">
      <c r="A291" s="370"/>
      <c r="B291" s="221">
        <v>4</v>
      </c>
      <c r="C291" s="222">
        <v>1.2</v>
      </c>
      <c r="D291" s="222" t="s">
        <v>748</v>
      </c>
      <c r="E291" s="222"/>
      <c r="F291" s="221" t="s">
        <v>265</v>
      </c>
      <c r="G291" s="225">
        <v>0</v>
      </c>
      <c r="H291" s="225">
        <f t="shared" si="150"/>
        <v>0</v>
      </c>
      <c r="I291" s="225">
        <f t="shared" si="151"/>
        <v>0</v>
      </c>
      <c r="J291" s="197"/>
      <c r="K291" s="224"/>
      <c r="L291" s="224">
        <f t="shared" si="165"/>
        <v>0</v>
      </c>
      <c r="M291" s="224"/>
      <c r="N291" s="282"/>
      <c r="O291" s="282"/>
      <c r="P291" s="282"/>
      <c r="Q291" s="282"/>
      <c r="R291" s="226">
        <v>0.1</v>
      </c>
      <c r="S291" s="227"/>
      <c r="T291" s="372"/>
      <c r="U291" s="248"/>
    </row>
    <row r="292" spans="1:21" ht="73.5" outlineLevel="1">
      <c r="A292" s="370">
        <v>8</v>
      </c>
      <c r="B292" s="221">
        <v>2</v>
      </c>
      <c r="C292" s="222" t="s">
        <v>901</v>
      </c>
      <c r="D292" s="222" t="s">
        <v>263</v>
      </c>
      <c r="E292" s="222" t="s">
        <v>902</v>
      </c>
      <c r="F292" s="221" t="s">
        <v>265</v>
      </c>
      <c r="G292" s="225">
        <v>0</v>
      </c>
      <c r="H292" s="225">
        <f t="shared" si="150"/>
        <v>0</v>
      </c>
      <c r="I292" s="225">
        <f t="shared" si="151"/>
        <v>0</v>
      </c>
      <c r="J292" s="197"/>
      <c r="K292" s="224"/>
      <c r="L292" s="224">
        <f t="shared" si="165"/>
        <v>0</v>
      </c>
      <c r="M292" s="224"/>
      <c r="N292" s="282"/>
      <c r="O292" s="282"/>
      <c r="P292" s="282"/>
      <c r="Q292" s="282"/>
      <c r="R292" s="226">
        <v>0.1</v>
      </c>
      <c r="S292" s="227"/>
      <c r="T292" s="372"/>
      <c r="U292" s="248"/>
    </row>
    <row r="293" spans="1:21" ht="21" outlineLevel="2">
      <c r="A293" s="370"/>
      <c r="B293" s="221">
        <v>3</v>
      </c>
      <c r="C293" s="372" t="s">
        <v>266</v>
      </c>
      <c r="D293" s="222" t="s">
        <v>903</v>
      </c>
      <c r="E293" s="222"/>
      <c r="F293" s="221" t="s">
        <v>265</v>
      </c>
      <c r="G293" s="225">
        <v>0</v>
      </c>
      <c r="H293" s="225">
        <f t="shared" si="150"/>
        <v>0</v>
      </c>
      <c r="I293" s="225">
        <f t="shared" si="151"/>
        <v>0</v>
      </c>
      <c r="J293" s="197"/>
      <c r="K293" s="224">
        <f t="shared" ref="K293:K297" si="181">L293+M293</f>
        <v>81.65591664999998</v>
      </c>
      <c r="L293" s="224">
        <f t="shared" si="165"/>
        <v>6.7422316499999981</v>
      </c>
      <c r="M293" s="224">
        <f t="shared" ref="M293:M297" si="182">N293+O293+P293+Q293+S293</f>
        <v>74.913684999999987</v>
      </c>
      <c r="N293" s="282">
        <v>32.835000000000001</v>
      </c>
      <c r="O293" s="282">
        <v>23</v>
      </c>
      <c r="P293" s="282">
        <v>5.8008499999999996</v>
      </c>
      <c r="Q293" s="282">
        <v>6.4675000000000002</v>
      </c>
      <c r="R293" s="226">
        <v>0.1</v>
      </c>
      <c r="S293" s="227">
        <f t="shared" ref="S293:S294" si="183">SUM(N293:Q293)*R293</f>
        <v>6.8103349999999994</v>
      </c>
      <c r="T293" s="372"/>
      <c r="U293" s="248"/>
    </row>
    <row r="294" spans="1:21" ht="21" outlineLevel="2">
      <c r="A294" s="370"/>
      <c r="B294" s="221">
        <v>3</v>
      </c>
      <c r="C294" s="222" t="s">
        <v>269</v>
      </c>
      <c r="D294" s="222" t="s">
        <v>904</v>
      </c>
      <c r="E294" s="222"/>
      <c r="F294" s="221" t="s">
        <v>265</v>
      </c>
      <c r="G294" s="225">
        <v>0</v>
      </c>
      <c r="H294" s="225">
        <f t="shared" si="150"/>
        <v>0</v>
      </c>
      <c r="I294" s="225">
        <f t="shared" si="151"/>
        <v>0</v>
      </c>
      <c r="J294" s="197"/>
      <c r="K294" s="224">
        <f t="shared" si="181"/>
        <v>9.0668380000000006</v>
      </c>
      <c r="L294" s="224">
        <f t="shared" si="165"/>
        <v>0.74863800000000003</v>
      </c>
      <c r="M294" s="224">
        <f t="shared" si="182"/>
        <v>8.3182000000000009</v>
      </c>
      <c r="N294" s="282">
        <v>0.995</v>
      </c>
      <c r="O294" s="282">
        <v>6.5670000000000002</v>
      </c>
      <c r="P294" s="282"/>
      <c r="Q294" s="282">
        <v>0</v>
      </c>
      <c r="R294" s="226">
        <v>0.1</v>
      </c>
      <c r="S294" s="227">
        <f t="shared" si="183"/>
        <v>0.75620000000000009</v>
      </c>
      <c r="T294" s="372"/>
      <c r="U294" s="248"/>
    </row>
    <row r="295" spans="1:21" ht="63" outlineLevel="2">
      <c r="A295" s="370"/>
      <c r="B295" s="221">
        <v>3</v>
      </c>
      <c r="C295" s="222" t="s">
        <v>275</v>
      </c>
      <c r="D295" s="222" t="s">
        <v>905</v>
      </c>
      <c r="E295" s="222"/>
      <c r="F295" s="221" t="s">
        <v>265</v>
      </c>
      <c r="G295" s="225">
        <v>0</v>
      </c>
      <c r="H295" s="225">
        <f t="shared" si="150"/>
        <v>0</v>
      </c>
      <c r="I295" s="225">
        <f t="shared" si="151"/>
        <v>0</v>
      </c>
      <c r="J295" s="197"/>
      <c r="K295" s="224"/>
      <c r="L295" s="224">
        <f t="shared" si="165"/>
        <v>0</v>
      </c>
      <c r="M295" s="224"/>
      <c r="N295" s="282"/>
      <c r="O295" s="282"/>
      <c r="P295" s="282"/>
      <c r="Q295" s="282"/>
      <c r="R295" s="226">
        <v>0.1</v>
      </c>
      <c r="S295" s="227"/>
      <c r="T295" s="372"/>
      <c r="U295" s="248"/>
    </row>
    <row r="296" spans="1:21" ht="21" outlineLevel="2">
      <c r="A296" s="370"/>
      <c r="B296" s="221">
        <v>4</v>
      </c>
      <c r="C296" s="222">
        <v>3.1</v>
      </c>
      <c r="D296" s="222" t="s">
        <v>906</v>
      </c>
      <c r="E296" s="222"/>
      <c r="F296" s="221" t="s">
        <v>265</v>
      </c>
      <c r="G296" s="225">
        <v>0</v>
      </c>
      <c r="H296" s="225">
        <f t="shared" si="150"/>
        <v>0</v>
      </c>
      <c r="I296" s="225">
        <f t="shared" si="151"/>
        <v>0</v>
      </c>
      <c r="J296" s="197"/>
      <c r="K296" s="224">
        <f>L296+M296</f>
        <v>17.3855</v>
      </c>
      <c r="L296" s="224">
        <f t="shared" si="165"/>
        <v>1.4354999999999998</v>
      </c>
      <c r="M296" s="224">
        <f>N296+O296+P296+Q296+S296</f>
        <v>15.95</v>
      </c>
      <c r="N296" s="282">
        <v>10</v>
      </c>
      <c r="O296" s="282">
        <v>4.5</v>
      </c>
      <c r="P296" s="282"/>
      <c r="Q296" s="282">
        <v>0</v>
      </c>
      <c r="R296" s="226">
        <v>0.1</v>
      </c>
      <c r="S296" s="227">
        <f>SUM(N296:Q296)*R296</f>
        <v>1.4500000000000002</v>
      </c>
      <c r="T296" s="372"/>
      <c r="U296" s="248"/>
    </row>
    <row r="297" spans="1:21" ht="42" outlineLevel="2">
      <c r="A297" s="370"/>
      <c r="B297" s="221">
        <v>4</v>
      </c>
      <c r="C297" s="222">
        <v>3.2</v>
      </c>
      <c r="D297" s="222" t="s">
        <v>907</v>
      </c>
      <c r="E297" s="222"/>
      <c r="F297" s="221" t="s">
        <v>265</v>
      </c>
      <c r="G297" s="225">
        <v>0</v>
      </c>
      <c r="H297" s="225">
        <f t="shared" si="150"/>
        <v>0</v>
      </c>
      <c r="I297" s="225">
        <f t="shared" si="151"/>
        <v>0</v>
      </c>
      <c r="J297" s="197"/>
      <c r="K297" s="224">
        <f t="shared" si="181"/>
        <v>35.850099999999998</v>
      </c>
      <c r="L297" s="224">
        <f t="shared" si="165"/>
        <v>2.9600999999999997</v>
      </c>
      <c r="M297" s="224">
        <f t="shared" si="182"/>
        <v>32.89</v>
      </c>
      <c r="N297" s="282">
        <v>23</v>
      </c>
      <c r="O297" s="282">
        <v>6</v>
      </c>
      <c r="P297" s="282">
        <v>0.9</v>
      </c>
      <c r="Q297" s="282">
        <v>0</v>
      </c>
      <c r="R297" s="226">
        <v>0.1</v>
      </c>
      <c r="S297" s="227">
        <f t="shared" ref="S297" si="184">SUM(N297:Q297)*R297</f>
        <v>2.99</v>
      </c>
      <c r="T297" s="372"/>
      <c r="U297" s="248"/>
    </row>
    <row r="298" spans="1:21" ht="73.5" outlineLevel="1">
      <c r="A298" s="370">
        <v>9</v>
      </c>
      <c r="B298" s="221">
        <v>2</v>
      </c>
      <c r="C298" s="222" t="s">
        <v>908</v>
      </c>
      <c r="D298" s="222" t="s">
        <v>263</v>
      </c>
      <c r="E298" s="222" t="s">
        <v>902</v>
      </c>
      <c r="F298" s="221" t="s">
        <v>265</v>
      </c>
      <c r="G298" s="225">
        <v>0</v>
      </c>
      <c r="H298" s="225">
        <f t="shared" si="150"/>
        <v>0</v>
      </c>
      <c r="I298" s="225">
        <f t="shared" si="151"/>
        <v>0</v>
      </c>
      <c r="J298" s="197"/>
      <c r="K298" s="224"/>
      <c r="L298" s="224">
        <f t="shared" si="165"/>
        <v>0</v>
      </c>
      <c r="M298" s="224"/>
      <c r="N298" s="282"/>
      <c r="O298" s="282"/>
      <c r="P298" s="282"/>
      <c r="Q298" s="282"/>
      <c r="R298" s="226">
        <v>0.1</v>
      </c>
      <c r="S298" s="227"/>
      <c r="T298" s="372"/>
      <c r="U298" s="248"/>
    </row>
    <row r="299" spans="1:21" ht="21" outlineLevel="2">
      <c r="A299" s="370"/>
      <c r="B299" s="221">
        <v>3</v>
      </c>
      <c r="C299" s="372" t="s">
        <v>266</v>
      </c>
      <c r="D299" s="222" t="s">
        <v>903</v>
      </c>
      <c r="E299" s="222"/>
      <c r="F299" s="221" t="s">
        <v>265</v>
      </c>
      <c r="G299" s="225">
        <v>0</v>
      </c>
      <c r="H299" s="225">
        <f t="shared" si="150"/>
        <v>0</v>
      </c>
      <c r="I299" s="225">
        <f t="shared" si="151"/>
        <v>0</v>
      </c>
      <c r="J299" s="197"/>
      <c r="K299" s="224">
        <f t="shared" ref="K299:K300" si="185">L299+M299</f>
        <v>81.65591664999998</v>
      </c>
      <c r="L299" s="224">
        <f t="shared" si="165"/>
        <v>6.7422316499999981</v>
      </c>
      <c r="M299" s="224">
        <f t="shared" ref="M299:M300" si="186">N299+O299+P299+Q299+S299</f>
        <v>74.913684999999987</v>
      </c>
      <c r="N299" s="282">
        <v>32.835000000000001</v>
      </c>
      <c r="O299" s="282">
        <v>23</v>
      </c>
      <c r="P299" s="282">
        <v>5.8008499999999996</v>
      </c>
      <c r="Q299" s="282">
        <v>6.4675000000000002</v>
      </c>
      <c r="R299" s="226">
        <v>0.1</v>
      </c>
      <c r="S299" s="227">
        <f t="shared" ref="S299:S300" si="187">SUM(N299:Q299)*R299</f>
        <v>6.8103349999999994</v>
      </c>
      <c r="T299" s="372"/>
      <c r="U299" s="248"/>
    </row>
    <row r="300" spans="1:21" ht="21" outlineLevel="2">
      <c r="A300" s="370"/>
      <c r="B300" s="221">
        <v>3</v>
      </c>
      <c r="C300" s="222" t="s">
        <v>269</v>
      </c>
      <c r="D300" s="222" t="s">
        <v>904</v>
      </c>
      <c r="E300" s="222"/>
      <c r="F300" s="221" t="s">
        <v>265</v>
      </c>
      <c r="G300" s="225">
        <v>0</v>
      </c>
      <c r="H300" s="225">
        <f t="shared" si="150"/>
        <v>0</v>
      </c>
      <c r="I300" s="225">
        <f t="shared" si="151"/>
        <v>0</v>
      </c>
      <c r="J300" s="197"/>
      <c r="K300" s="224">
        <f t="shared" si="185"/>
        <v>9.0668380000000006</v>
      </c>
      <c r="L300" s="224">
        <f t="shared" si="165"/>
        <v>0.74863800000000003</v>
      </c>
      <c r="M300" s="224">
        <f t="shared" si="186"/>
        <v>8.3182000000000009</v>
      </c>
      <c r="N300" s="282">
        <v>0.995</v>
      </c>
      <c r="O300" s="282">
        <v>6.5670000000000002</v>
      </c>
      <c r="P300" s="282"/>
      <c r="Q300" s="282">
        <v>0</v>
      </c>
      <c r="R300" s="226">
        <v>0.1</v>
      </c>
      <c r="S300" s="227">
        <f t="shared" si="187"/>
        <v>0.75620000000000009</v>
      </c>
      <c r="T300" s="372"/>
      <c r="U300" s="248"/>
    </row>
    <row r="301" spans="1:21" ht="63" outlineLevel="2">
      <c r="A301" s="370"/>
      <c r="B301" s="221">
        <v>3</v>
      </c>
      <c r="C301" s="222" t="s">
        <v>275</v>
      </c>
      <c r="D301" s="222" t="s">
        <v>905</v>
      </c>
      <c r="E301" s="222"/>
      <c r="F301" s="221" t="s">
        <v>265</v>
      </c>
      <c r="G301" s="225">
        <v>0</v>
      </c>
      <c r="H301" s="225">
        <f t="shared" si="150"/>
        <v>0</v>
      </c>
      <c r="I301" s="225">
        <f t="shared" si="151"/>
        <v>0</v>
      </c>
      <c r="J301" s="197"/>
      <c r="K301" s="221"/>
      <c r="L301" s="224">
        <f t="shared" si="165"/>
        <v>0</v>
      </c>
      <c r="M301" s="221"/>
      <c r="N301" s="221"/>
      <c r="O301" s="221"/>
      <c r="P301" s="221"/>
      <c r="Q301" s="221"/>
      <c r="R301" s="226">
        <v>0.1</v>
      </c>
      <c r="S301" s="221"/>
      <c r="T301" s="372"/>
      <c r="U301" s="248"/>
    </row>
    <row r="302" spans="1:21" ht="21" outlineLevel="2">
      <c r="A302" s="370"/>
      <c r="B302" s="221">
        <v>4</v>
      </c>
      <c r="C302" s="222">
        <v>3.1</v>
      </c>
      <c r="D302" s="222" t="s">
        <v>906</v>
      </c>
      <c r="E302" s="222"/>
      <c r="F302" s="221" t="s">
        <v>265</v>
      </c>
      <c r="G302" s="225">
        <v>0</v>
      </c>
      <c r="H302" s="225">
        <f t="shared" si="150"/>
        <v>0</v>
      </c>
      <c r="I302" s="225">
        <f t="shared" si="151"/>
        <v>0</v>
      </c>
      <c r="J302" s="197"/>
      <c r="K302" s="224">
        <f t="shared" ref="K302:K303" si="188">L302+M302</f>
        <v>17.3855</v>
      </c>
      <c r="L302" s="224">
        <f t="shared" si="165"/>
        <v>1.4354999999999998</v>
      </c>
      <c r="M302" s="224">
        <f t="shared" ref="M302:M303" si="189">N302+O302+P302+Q302+S302</f>
        <v>15.95</v>
      </c>
      <c r="N302" s="282">
        <v>10</v>
      </c>
      <c r="O302" s="282">
        <v>4.5</v>
      </c>
      <c r="P302" s="282"/>
      <c r="Q302" s="282">
        <v>0</v>
      </c>
      <c r="R302" s="226">
        <v>0.1</v>
      </c>
      <c r="S302" s="227">
        <f t="shared" ref="S302:S303" si="190">SUM(N302:Q302)*R302</f>
        <v>1.4500000000000002</v>
      </c>
      <c r="T302" s="372"/>
      <c r="U302" s="248"/>
    </row>
    <row r="303" spans="1:21" ht="42" outlineLevel="2">
      <c r="A303" s="370"/>
      <c r="B303" s="221">
        <v>4</v>
      </c>
      <c r="C303" s="222">
        <v>3.2</v>
      </c>
      <c r="D303" s="222" t="s">
        <v>907</v>
      </c>
      <c r="E303" s="222"/>
      <c r="F303" s="221" t="s">
        <v>265</v>
      </c>
      <c r="G303" s="225">
        <v>0</v>
      </c>
      <c r="H303" s="225">
        <f t="shared" si="150"/>
        <v>0</v>
      </c>
      <c r="I303" s="225">
        <f t="shared" si="151"/>
        <v>0</v>
      </c>
      <c r="J303" s="197"/>
      <c r="K303" s="224">
        <f t="shared" si="188"/>
        <v>35.850099999999998</v>
      </c>
      <c r="L303" s="224">
        <f t="shared" ref="L303:L349" si="191">M303*0.09</f>
        <v>2.9600999999999997</v>
      </c>
      <c r="M303" s="224">
        <f t="shared" si="189"/>
        <v>32.89</v>
      </c>
      <c r="N303" s="282">
        <v>23</v>
      </c>
      <c r="O303" s="282">
        <v>6</v>
      </c>
      <c r="P303" s="282">
        <v>0.9</v>
      </c>
      <c r="Q303" s="282">
        <v>0</v>
      </c>
      <c r="R303" s="226">
        <v>0.1</v>
      </c>
      <c r="S303" s="227">
        <f t="shared" si="190"/>
        <v>2.99</v>
      </c>
      <c r="T303" s="372"/>
      <c r="U303" s="248"/>
    </row>
    <row r="304" spans="1:21" ht="73.5" outlineLevel="1">
      <c r="A304" s="370">
        <v>10</v>
      </c>
      <c r="B304" s="221">
        <v>2</v>
      </c>
      <c r="C304" s="222" t="s">
        <v>909</v>
      </c>
      <c r="D304" s="222" t="s">
        <v>263</v>
      </c>
      <c r="E304" s="222" t="s">
        <v>902</v>
      </c>
      <c r="F304" s="221" t="s">
        <v>265</v>
      </c>
      <c r="G304" s="225">
        <v>0</v>
      </c>
      <c r="H304" s="225">
        <f t="shared" si="150"/>
        <v>0</v>
      </c>
      <c r="I304" s="225">
        <f t="shared" si="151"/>
        <v>0</v>
      </c>
      <c r="J304" s="197"/>
      <c r="K304" s="224"/>
      <c r="L304" s="224">
        <f t="shared" si="191"/>
        <v>0</v>
      </c>
      <c r="M304" s="224"/>
      <c r="N304" s="282"/>
      <c r="O304" s="282"/>
      <c r="P304" s="282"/>
      <c r="Q304" s="282"/>
      <c r="R304" s="226">
        <v>0.1</v>
      </c>
      <c r="S304" s="227"/>
      <c r="T304" s="372"/>
      <c r="U304" s="248"/>
    </row>
    <row r="305" spans="1:21" ht="21" outlineLevel="2">
      <c r="A305" s="370"/>
      <c r="B305" s="221">
        <v>3</v>
      </c>
      <c r="C305" s="222" t="s">
        <v>266</v>
      </c>
      <c r="D305" s="222" t="s">
        <v>910</v>
      </c>
      <c r="E305" s="222"/>
      <c r="F305" s="221" t="s">
        <v>265</v>
      </c>
      <c r="G305" s="225">
        <v>0</v>
      </c>
      <c r="H305" s="225">
        <f t="shared" si="150"/>
        <v>0</v>
      </c>
      <c r="I305" s="225">
        <f t="shared" si="151"/>
        <v>0</v>
      </c>
      <c r="J305" s="197"/>
      <c r="K305" s="224"/>
      <c r="L305" s="224">
        <f t="shared" si="191"/>
        <v>0</v>
      </c>
      <c r="M305" s="224"/>
      <c r="N305" s="282"/>
      <c r="O305" s="282"/>
      <c r="P305" s="282"/>
      <c r="Q305" s="282"/>
      <c r="R305" s="226">
        <v>0.1</v>
      </c>
      <c r="S305" s="227"/>
      <c r="T305" s="372"/>
      <c r="U305" s="248"/>
    </row>
    <row r="306" spans="1:21" ht="84" outlineLevel="2">
      <c r="A306" s="370"/>
      <c r="B306" s="221">
        <v>4</v>
      </c>
      <c r="C306" s="373" t="s">
        <v>911</v>
      </c>
      <c r="D306" s="374" t="s">
        <v>912</v>
      </c>
      <c r="E306" s="375" t="s">
        <v>913</v>
      </c>
      <c r="F306" s="221" t="s">
        <v>265</v>
      </c>
      <c r="G306" s="225">
        <v>10803.894352134101</v>
      </c>
      <c r="H306" s="225">
        <f t="shared" si="150"/>
        <v>252600.45190007132</v>
      </c>
      <c r="I306" s="225">
        <f t="shared" si="151"/>
        <v>252600.45190007132</v>
      </c>
      <c r="J306" s="197"/>
      <c r="K306" s="224">
        <f>L306+M306</f>
        <v>23.380499999999998</v>
      </c>
      <c r="L306" s="224">
        <f t="shared" si="191"/>
        <v>1.9304999999999999</v>
      </c>
      <c r="M306" s="224">
        <f>N306+O306+P306+Q306+S306</f>
        <v>21.45</v>
      </c>
      <c r="N306" s="282">
        <v>12</v>
      </c>
      <c r="O306" s="282">
        <v>6</v>
      </c>
      <c r="P306" s="282">
        <v>1</v>
      </c>
      <c r="Q306" s="282">
        <v>0.5</v>
      </c>
      <c r="R306" s="226">
        <v>0.1</v>
      </c>
      <c r="S306" s="227">
        <f>SUM(N306:Q306)*R306</f>
        <v>1.9500000000000002</v>
      </c>
      <c r="T306" s="341" t="s">
        <v>591</v>
      </c>
      <c r="U306" s="248"/>
    </row>
    <row r="307" spans="1:21" ht="84" outlineLevel="2">
      <c r="A307" s="370"/>
      <c r="B307" s="221">
        <v>4</v>
      </c>
      <c r="C307" s="373" t="s">
        <v>914</v>
      </c>
      <c r="D307" s="374" t="s">
        <v>912</v>
      </c>
      <c r="E307" s="375" t="s">
        <v>913</v>
      </c>
      <c r="F307" s="221" t="s">
        <v>265</v>
      </c>
      <c r="G307" s="225">
        <v>0</v>
      </c>
      <c r="H307" s="225">
        <f t="shared" si="150"/>
        <v>0</v>
      </c>
      <c r="I307" s="225">
        <f t="shared" si="151"/>
        <v>0</v>
      </c>
      <c r="J307" s="197"/>
      <c r="K307" s="224">
        <f t="shared" ref="K307:K317" si="192">L307+M307</f>
        <v>23.380499999999998</v>
      </c>
      <c r="L307" s="224">
        <f t="shared" si="191"/>
        <v>1.9304999999999999</v>
      </c>
      <c r="M307" s="224">
        <f t="shared" ref="M307:M317" si="193">N307+O307+P307+Q307+S307</f>
        <v>21.45</v>
      </c>
      <c r="N307" s="282">
        <v>12</v>
      </c>
      <c r="O307" s="282">
        <v>6</v>
      </c>
      <c r="P307" s="282">
        <v>1</v>
      </c>
      <c r="Q307" s="282">
        <v>0.5</v>
      </c>
      <c r="R307" s="226">
        <v>0.1</v>
      </c>
      <c r="S307" s="227">
        <f t="shared" ref="S307:S317" si="194">SUM(N307:Q307)*R307</f>
        <v>1.9500000000000002</v>
      </c>
      <c r="T307" s="341" t="s">
        <v>591</v>
      </c>
      <c r="U307" s="248"/>
    </row>
    <row r="308" spans="1:21" ht="84" outlineLevel="2">
      <c r="A308" s="370"/>
      <c r="B308" s="221">
        <v>4</v>
      </c>
      <c r="C308" s="373" t="s">
        <v>915</v>
      </c>
      <c r="D308" s="374" t="s">
        <v>912</v>
      </c>
      <c r="E308" s="375" t="s">
        <v>913</v>
      </c>
      <c r="F308" s="221" t="s">
        <v>265</v>
      </c>
      <c r="G308" s="225">
        <v>72948.552967416195</v>
      </c>
      <c r="H308" s="225">
        <f t="shared" si="150"/>
        <v>1793038.9576626064</v>
      </c>
      <c r="I308" s="225">
        <f t="shared" si="151"/>
        <v>1793038.9576626064</v>
      </c>
      <c r="J308" s="197"/>
      <c r="K308" s="224">
        <f t="shared" si="192"/>
        <v>24.579499999999999</v>
      </c>
      <c r="L308" s="224">
        <f t="shared" si="191"/>
        <v>2.0295000000000001</v>
      </c>
      <c r="M308" s="224">
        <f t="shared" si="193"/>
        <v>22.55</v>
      </c>
      <c r="N308" s="282">
        <v>13</v>
      </c>
      <c r="O308" s="282">
        <v>6</v>
      </c>
      <c r="P308" s="282">
        <v>1</v>
      </c>
      <c r="Q308" s="282">
        <v>0.5</v>
      </c>
      <c r="R308" s="226">
        <v>0.1</v>
      </c>
      <c r="S308" s="227">
        <f t="shared" si="194"/>
        <v>2.0500000000000003</v>
      </c>
      <c r="T308" s="341" t="s">
        <v>591</v>
      </c>
      <c r="U308" s="248"/>
    </row>
    <row r="309" spans="1:21" ht="126" outlineLevel="2">
      <c r="A309" s="370"/>
      <c r="B309" s="221">
        <v>4</v>
      </c>
      <c r="C309" s="373" t="s">
        <v>916</v>
      </c>
      <c r="D309" s="374" t="s">
        <v>917</v>
      </c>
      <c r="E309" s="375" t="s">
        <v>913</v>
      </c>
      <c r="F309" s="221" t="s">
        <v>265</v>
      </c>
      <c r="G309" s="225">
        <v>0</v>
      </c>
      <c r="H309" s="225">
        <f t="shared" si="150"/>
        <v>0</v>
      </c>
      <c r="I309" s="225">
        <f t="shared" si="151"/>
        <v>0</v>
      </c>
      <c r="J309" s="197"/>
      <c r="K309" s="224">
        <f t="shared" si="192"/>
        <v>29.375499999999999</v>
      </c>
      <c r="L309" s="224">
        <f t="shared" si="191"/>
        <v>2.4255</v>
      </c>
      <c r="M309" s="224">
        <f t="shared" si="193"/>
        <v>26.95</v>
      </c>
      <c r="N309" s="282">
        <v>16</v>
      </c>
      <c r="O309" s="282">
        <v>6</v>
      </c>
      <c r="P309" s="282">
        <v>2</v>
      </c>
      <c r="Q309" s="282">
        <v>0.5</v>
      </c>
      <c r="R309" s="226">
        <v>0.1</v>
      </c>
      <c r="S309" s="227">
        <f t="shared" si="194"/>
        <v>2.4500000000000002</v>
      </c>
      <c r="T309" s="341" t="s">
        <v>591</v>
      </c>
      <c r="U309" s="248"/>
    </row>
    <row r="310" spans="1:21" ht="126" outlineLevel="2">
      <c r="A310" s="370"/>
      <c r="B310" s="221">
        <v>4</v>
      </c>
      <c r="C310" s="373" t="s">
        <v>918</v>
      </c>
      <c r="D310" s="374" t="s">
        <v>917</v>
      </c>
      <c r="E310" s="375" t="s">
        <v>913</v>
      </c>
      <c r="F310" s="221" t="s">
        <v>265</v>
      </c>
      <c r="G310" s="225">
        <v>0</v>
      </c>
      <c r="H310" s="225">
        <f t="shared" si="150"/>
        <v>0</v>
      </c>
      <c r="I310" s="225">
        <f t="shared" si="151"/>
        <v>0</v>
      </c>
      <c r="J310" s="197"/>
      <c r="K310" s="224">
        <f t="shared" si="192"/>
        <v>29.375499999999999</v>
      </c>
      <c r="L310" s="224">
        <f t="shared" si="191"/>
        <v>2.4255</v>
      </c>
      <c r="M310" s="224">
        <f t="shared" si="193"/>
        <v>26.95</v>
      </c>
      <c r="N310" s="282">
        <v>16</v>
      </c>
      <c r="O310" s="282">
        <v>6</v>
      </c>
      <c r="P310" s="282">
        <v>2</v>
      </c>
      <c r="Q310" s="282">
        <v>0.5</v>
      </c>
      <c r="R310" s="226">
        <v>0.1</v>
      </c>
      <c r="S310" s="227">
        <f t="shared" si="194"/>
        <v>2.4500000000000002</v>
      </c>
      <c r="T310" s="341" t="s">
        <v>591</v>
      </c>
      <c r="U310" s="248"/>
    </row>
    <row r="311" spans="1:21" ht="136.5" outlineLevel="2">
      <c r="A311" s="370"/>
      <c r="B311" s="221">
        <v>4</v>
      </c>
      <c r="C311" s="373" t="s">
        <v>919</v>
      </c>
      <c r="D311" s="374" t="s">
        <v>920</v>
      </c>
      <c r="E311" s="375" t="s">
        <v>913</v>
      </c>
      <c r="F311" s="221" t="s">
        <v>265</v>
      </c>
      <c r="G311" s="225">
        <v>0</v>
      </c>
      <c r="H311" s="225">
        <f t="shared" si="150"/>
        <v>0</v>
      </c>
      <c r="I311" s="225">
        <f t="shared" si="151"/>
        <v>0</v>
      </c>
      <c r="J311" s="197"/>
      <c r="K311" s="224">
        <f t="shared" si="192"/>
        <v>29.975000000000001</v>
      </c>
      <c r="L311" s="224">
        <f t="shared" si="191"/>
        <v>2.4750000000000001</v>
      </c>
      <c r="M311" s="224">
        <f t="shared" si="193"/>
        <v>27.5</v>
      </c>
      <c r="N311" s="282">
        <v>16.5</v>
      </c>
      <c r="O311" s="282">
        <v>6</v>
      </c>
      <c r="P311" s="282">
        <v>2</v>
      </c>
      <c r="Q311" s="282">
        <v>0.5</v>
      </c>
      <c r="R311" s="226">
        <v>0.1</v>
      </c>
      <c r="S311" s="227">
        <f t="shared" si="194"/>
        <v>2.5</v>
      </c>
      <c r="T311" s="341" t="s">
        <v>591</v>
      </c>
      <c r="U311" s="248"/>
    </row>
    <row r="312" spans="1:21" ht="126" outlineLevel="2">
      <c r="A312" s="370"/>
      <c r="B312" s="221">
        <v>4</v>
      </c>
      <c r="C312" s="373" t="s">
        <v>921</v>
      </c>
      <c r="D312" s="374" t="s">
        <v>922</v>
      </c>
      <c r="E312" s="375" t="s">
        <v>913</v>
      </c>
      <c r="F312" s="221" t="s">
        <v>265</v>
      </c>
      <c r="G312" s="225">
        <v>48341.618680449697</v>
      </c>
      <c r="H312" s="225">
        <f t="shared" si="150"/>
        <v>1999675.2275261423</v>
      </c>
      <c r="I312" s="225">
        <f t="shared" si="151"/>
        <v>1999675.2275261423</v>
      </c>
      <c r="J312" s="197"/>
      <c r="K312" s="224">
        <f t="shared" si="192"/>
        <v>41.365500000000004</v>
      </c>
      <c r="L312" s="224">
        <f t="shared" si="191"/>
        <v>3.4155000000000002</v>
      </c>
      <c r="M312" s="224">
        <f t="shared" si="193"/>
        <v>37.950000000000003</v>
      </c>
      <c r="N312" s="282">
        <v>26</v>
      </c>
      <c r="O312" s="282">
        <v>6</v>
      </c>
      <c r="P312" s="282">
        <v>2</v>
      </c>
      <c r="Q312" s="282">
        <v>0.5</v>
      </c>
      <c r="R312" s="226">
        <v>0.1</v>
      </c>
      <c r="S312" s="227">
        <f t="shared" si="194"/>
        <v>3.45</v>
      </c>
      <c r="T312" s="341" t="s">
        <v>591</v>
      </c>
      <c r="U312" s="248"/>
    </row>
    <row r="313" spans="1:21" ht="126" outlineLevel="2">
      <c r="A313" s="370"/>
      <c r="B313" s="221">
        <v>4</v>
      </c>
      <c r="C313" s="373" t="s">
        <v>923</v>
      </c>
      <c r="D313" s="374" t="s">
        <v>922</v>
      </c>
      <c r="E313" s="375" t="s">
        <v>913</v>
      </c>
      <c r="F313" s="221" t="s">
        <v>265</v>
      </c>
      <c r="G313" s="225">
        <v>0</v>
      </c>
      <c r="H313" s="225">
        <f t="shared" si="150"/>
        <v>0</v>
      </c>
      <c r="I313" s="225">
        <f t="shared" si="151"/>
        <v>0</v>
      </c>
      <c r="J313" s="197"/>
      <c r="K313" s="224">
        <f t="shared" si="192"/>
        <v>41.365500000000004</v>
      </c>
      <c r="L313" s="224">
        <f t="shared" si="191"/>
        <v>3.4155000000000002</v>
      </c>
      <c r="M313" s="224">
        <f t="shared" si="193"/>
        <v>37.950000000000003</v>
      </c>
      <c r="N313" s="282">
        <v>26</v>
      </c>
      <c r="O313" s="282">
        <v>6</v>
      </c>
      <c r="P313" s="282">
        <v>2</v>
      </c>
      <c r="Q313" s="282">
        <v>0.5</v>
      </c>
      <c r="R313" s="226">
        <v>0.1</v>
      </c>
      <c r="S313" s="227">
        <f t="shared" si="194"/>
        <v>3.45</v>
      </c>
      <c r="T313" s="341" t="s">
        <v>591</v>
      </c>
      <c r="U313" s="248"/>
    </row>
    <row r="314" spans="1:21" ht="126" outlineLevel="2">
      <c r="A314" s="370"/>
      <c r="B314" s="221">
        <v>4</v>
      </c>
      <c r="C314" s="373" t="s">
        <v>924</v>
      </c>
      <c r="D314" s="374" t="s">
        <v>922</v>
      </c>
      <c r="E314" s="375" t="s">
        <v>913</v>
      </c>
      <c r="F314" s="221" t="s">
        <v>265</v>
      </c>
      <c r="G314" s="225">
        <v>0</v>
      </c>
      <c r="H314" s="225">
        <f t="shared" si="150"/>
        <v>0</v>
      </c>
      <c r="I314" s="225">
        <f t="shared" si="151"/>
        <v>0</v>
      </c>
      <c r="J314" s="197"/>
      <c r="K314" s="224">
        <f t="shared" si="192"/>
        <v>41.365500000000004</v>
      </c>
      <c r="L314" s="224">
        <f t="shared" si="191"/>
        <v>3.4155000000000002</v>
      </c>
      <c r="M314" s="224">
        <f t="shared" si="193"/>
        <v>37.950000000000003</v>
      </c>
      <c r="N314" s="282">
        <v>26</v>
      </c>
      <c r="O314" s="282">
        <v>6</v>
      </c>
      <c r="P314" s="282">
        <v>2</v>
      </c>
      <c r="Q314" s="282">
        <v>0.5</v>
      </c>
      <c r="R314" s="226">
        <v>0.1</v>
      </c>
      <c r="S314" s="227">
        <f t="shared" si="194"/>
        <v>3.45</v>
      </c>
      <c r="T314" s="341" t="s">
        <v>591</v>
      </c>
      <c r="U314" s="248"/>
    </row>
    <row r="315" spans="1:21" ht="126" outlineLevel="2">
      <c r="A315" s="370"/>
      <c r="B315" s="221">
        <v>4</v>
      </c>
      <c r="C315" s="373" t="s">
        <v>925</v>
      </c>
      <c r="D315" s="374" t="s">
        <v>922</v>
      </c>
      <c r="E315" s="375" t="s">
        <v>913</v>
      </c>
      <c r="F315" s="221" t="s">
        <v>265</v>
      </c>
      <c r="G315" s="225">
        <v>0</v>
      </c>
      <c r="H315" s="225">
        <f t="shared" si="150"/>
        <v>0</v>
      </c>
      <c r="I315" s="225">
        <f t="shared" si="151"/>
        <v>0</v>
      </c>
      <c r="J315" s="197"/>
      <c r="K315" s="224">
        <f t="shared" si="192"/>
        <v>41.365500000000004</v>
      </c>
      <c r="L315" s="224">
        <f t="shared" si="191"/>
        <v>3.4155000000000002</v>
      </c>
      <c r="M315" s="224">
        <f t="shared" si="193"/>
        <v>37.950000000000003</v>
      </c>
      <c r="N315" s="282">
        <v>26</v>
      </c>
      <c r="O315" s="282">
        <v>6</v>
      </c>
      <c r="P315" s="282">
        <v>2</v>
      </c>
      <c r="Q315" s="282">
        <v>0.5</v>
      </c>
      <c r="R315" s="226">
        <v>0.1</v>
      </c>
      <c r="S315" s="227">
        <f t="shared" si="194"/>
        <v>3.45</v>
      </c>
      <c r="T315" s="341" t="s">
        <v>591</v>
      </c>
      <c r="U315" s="248"/>
    </row>
    <row r="316" spans="1:21" ht="136.5" outlineLevel="2">
      <c r="A316" s="370"/>
      <c r="B316" s="221">
        <v>4</v>
      </c>
      <c r="C316" s="373" t="s">
        <v>926</v>
      </c>
      <c r="D316" s="374" t="s">
        <v>927</v>
      </c>
      <c r="E316" s="375" t="s">
        <v>913</v>
      </c>
      <c r="F316" s="221" t="s">
        <v>265</v>
      </c>
      <c r="G316" s="225">
        <v>0</v>
      </c>
      <c r="H316" s="225">
        <f t="shared" si="150"/>
        <v>0</v>
      </c>
      <c r="I316" s="225">
        <f t="shared" si="151"/>
        <v>0</v>
      </c>
      <c r="J316" s="197"/>
      <c r="K316" s="224">
        <f t="shared" si="192"/>
        <v>66.544499999999999</v>
      </c>
      <c r="L316" s="224">
        <f t="shared" si="191"/>
        <v>5.4944999999999995</v>
      </c>
      <c r="M316" s="224">
        <f t="shared" si="193"/>
        <v>61.05</v>
      </c>
      <c r="N316" s="282">
        <v>43</v>
      </c>
      <c r="O316" s="282">
        <v>6</v>
      </c>
      <c r="P316" s="282">
        <v>6</v>
      </c>
      <c r="Q316" s="282">
        <v>0.5</v>
      </c>
      <c r="R316" s="226">
        <v>0.1</v>
      </c>
      <c r="S316" s="227">
        <f t="shared" si="194"/>
        <v>5.5500000000000007</v>
      </c>
      <c r="T316" s="341" t="s">
        <v>591</v>
      </c>
      <c r="U316" s="248"/>
    </row>
    <row r="317" spans="1:21" ht="136.5" outlineLevel="2">
      <c r="A317" s="370"/>
      <c r="B317" s="221">
        <v>4</v>
      </c>
      <c r="C317" s="373" t="s">
        <v>928</v>
      </c>
      <c r="D317" s="374" t="s">
        <v>927</v>
      </c>
      <c r="E317" s="375" t="s">
        <v>913</v>
      </c>
      <c r="F317" s="221" t="s">
        <v>265</v>
      </c>
      <c r="G317" s="225">
        <v>0</v>
      </c>
      <c r="H317" s="225">
        <f t="shared" si="150"/>
        <v>0</v>
      </c>
      <c r="I317" s="225">
        <f t="shared" si="151"/>
        <v>0</v>
      </c>
      <c r="J317" s="197"/>
      <c r="K317" s="224">
        <f t="shared" si="192"/>
        <v>34.171500000000002</v>
      </c>
      <c r="L317" s="224">
        <f t="shared" si="191"/>
        <v>2.8214999999999999</v>
      </c>
      <c r="M317" s="224">
        <f t="shared" si="193"/>
        <v>31.35</v>
      </c>
      <c r="N317" s="282">
        <v>19</v>
      </c>
      <c r="O317" s="282">
        <v>6</v>
      </c>
      <c r="P317" s="282">
        <v>3</v>
      </c>
      <c r="Q317" s="282">
        <v>0.5</v>
      </c>
      <c r="R317" s="226">
        <v>0.1</v>
      </c>
      <c r="S317" s="227">
        <f t="shared" si="194"/>
        <v>2.85</v>
      </c>
      <c r="T317" s="341" t="s">
        <v>591</v>
      </c>
      <c r="U317" s="248"/>
    </row>
    <row r="318" spans="1:21" ht="63" outlineLevel="2">
      <c r="A318" s="370"/>
      <c r="B318" s="221">
        <v>3</v>
      </c>
      <c r="C318" s="222" t="s">
        <v>269</v>
      </c>
      <c r="D318" s="222" t="s">
        <v>905</v>
      </c>
      <c r="E318" s="222"/>
      <c r="F318" s="221" t="s">
        <v>265</v>
      </c>
      <c r="G318" s="225">
        <v>0</v>
      </c>
      <c r="H318" s="225">
        <f t="shared" si="150"/>
        <v>0</v>
      </c>
      <c r="I318" s="225">
        <f t="shared" si="151"/>
        <v>0</v>
      </c>
      <c r="J318" s="197"/>
      <c r="K318" s="224"/>
      <c r="L318" s="224">
        <f t="shared" si="191"/>
        <v>0</v>
      </c>
      <c r="M318" s="224"/>
      <c r="N318" s="282"/>
      <c r="O318" s="282"/>
      <c r="P318" s="282"/>
      <c r="Q318" s="282"/>
      <c r="R318" s="226">
        <v>0.1</v>
      </c>
      <c r="S318" s="227"/>
      <c r="T318" s="372"/>
      <c r="U318" s="248"/>
    </row>
    <row r="319" spans="1:21" ht="21" outlineLevel="2">
      <c r="A319" s="370"/>
      <c r="B319" s="221">
        <v>4</v>
      </c>
      <c r="C319" s="222">
        <v>3.1</v>
      </c>
      <c r="D319" s="222" t="s">
        <v>906</v>
      </c>
      <c r="E319" s="222"/>
      <c r="F319" s="221" t="s">
        <v>265</v>
      </c>
      <c r="G319" s="225">
        <v>0</v>
      </c>
      <c r="H319" s="225">
        <f t="shared" si="150"/>
        <v>0</v>
      </c>
      <c r="I319" s="225">
        <f t="shared" si="151"/>
        <v>0</v>
      </c>
      <c r="J319" s="197"/>
      <c r="K319" s="224">
        <f t="shared" ref="K319:K320" si="195">L319+M319</f>
        <v>17.3855</v>
      </c>
      <c r="L319" s="224">
        <f t="shared" si="191"/>
        <v>1.4354999999999998</v>
      </c>
      <c r="M319" s="224">
        <f t="shared" ref="M319:M320" si="196">N319+O319+P319+Q319+S319</f>
        <v>15.95</v>
      </c>
      <c r="N319" s="282">
        <v>10</v>
      </c>
      <c r="O319" s="282">
        <v>4.5</v>
      </c>
      <c r="P319" s="282"/>
      <c r="Q319" s="282">
        <v>0</v>
      </c>
      <c r="R319" s="226">
        <v>0.1</v>
      </c>
      <c r="S319" s="227">
        <f t="shared" ref="S319:S320" si="197">SUM(N319:Q319)*R319</f>
        <v>1.4500000000000002</v>
      </c>
      <c r="T319" s="372"/>
      <c r="U319" s="248"/>
    </row>
    <row r="320" spans="1:21" ht="42" outlineLevel="2">
      <c r="A320" s="370"/>
      <c r="B320" s="221">
        <v>4</v>
      </c>
      <c r="C320" s="222">
        <v>3.2</v>
      </c>
      <c r="D320" s="222" t="s">
        <v>907</v>
      </c>
      <c r="E320" s="222"/>
      <c r="F320" s="221" t="s">
        <v>265</v>
      </c>
      <c r="G320" s="225">
        <v>0</v>
      </c>
      <c r="H320" s="225">
        <f t="shared" si="150"/>
        <v>0</v>
      </c>
      <c r="I320" s="225">
        <f t="shared" si="151"/>
        <v>0</v>
      </c>
      <c r="J320" s="197"/>
      <c r="K320" s="224">
        <f t="shared" si="195"/>
        <v>35.969400499999992</v>
      </c>
      <c r="L320" s="224">
        <f t="shared" si="191"/>
        <v>2.9699504999999995</v>
      </c>
      <c r="M320" s="224">
        <f t="shared" si="196"/>
        <v>32.999449999999996</v>
      </c>
      <c r="N320" s="282">
        <v>23</v>
      </c>
      <c r="O320" s="282">
        <v>6</v>
      </c>
      <c r="P320" s="282">
        <v>0.9</v>
      </c>
      <c r="Q320" s="282">
        <v>9.9500000000000005E-2</v>
      </c>
      <c r="R320" s="226">
        <v>0.1</v>
      </c>
      <c r="S320" s="227">
        <f t="shared" si="197"/>
        <v>2.9999500000000001</v>
      </c>
      <c r="T320" s="372"/>
      <c r="U320" s="248"/>
    </row>
    <row r="321" spans="1:21" ht="52.5" outlineLevel="1">
      <c r="A321" s="370">
        <v>11</v>
      </c>
      <c r="B321" s="221">
        <v>2</v>
      </c>
      <c r="C321" s="222" t="s">
        <v>929</v>
      </c>
      <c r="D321" s="222" t="s">
        <v>930</v>
      </c>
      <c r="E321" s="222" t="s">
        <v>584</v>
      </c>
      <c r="F321" s="221" t="s">
        <v>265</v>
      </c>
      <c r="G321" s="225">
        <v>0</v>
      </c>
      <c r="H321" s="225">
        <f t="shared" si="150"/>
        <v>0</v>
      </c>
      <c r="I321" s="225">
        <f t="shared" si="151"/>
        <v>0</v>
      </c>
      <c r="J321" s="197"/>
      <c r="K321" s="224">
        <f t="shared" ref="K321:K327" si="198">L321+M321</f>
        <v>23.487220370825241</v>
      </c>
      <c r="L321" s="224">
        <f t="shared" si="191"/>
        <v>1.939311773737864</v>
      </c>
      <c r="M321" s="224">
        <f t="shared" ref="M321:M327" si="199">N321+O321+P321+Q321+S321</f>
        <v>21.547908597087378</v>
      </c>
      <c r="N321" s="282">
        <v>12</v>
      </c>
      <c r="O321" s="282">
        <f>7.745*调差材料基价表!$E$63/1000+0.0203*调差材料基价表!$E$64</f>
        <v>6.3590078155339791</v>
      </c>
      <c r="P321" s="282">
        <v>1.23</v>
      </c>
      <c r="Q321" s="282"/>
      <c r="R321" s="226">
        <v>0.1</v>
      </c>
      <c r="S321" s="227">
        <f t="shared" ref="S321:S327" si="200">SUM(N321:Q321)*R321</f>
        <v>1.9589007815533979</v>
      </c>
      <c r="T321" s="348" t="s">
        <v>514</v>
      </c>
      <c r="U321" s="248"/>
    </row>
    <row r="322" spans="1:21" ht="31.5" outlineLevel="1">
      <c r="A322" s="370">
        <v>12</v>
      </c>
      <c r="B322" s="221">
        <v>2</v>
      </c>
      <c r="C322" s="222" t="s">
        <v>929</v>
      </c>
      <c r="D322" s="222" t="s">
        <v>931</v>
      </c>
      <c r="E322" s="222" t="s">
        <v>584</v>
      </c>
      <c r="F322" s="221" t="s">
        <v>265</v>
      </c>
      <c r="G322" s="225">
        <v>0</v>
      </c>
      <c r="H322" s="225">
        <f t="shared" si="150"/>
        <v>0</v>
      </c>
      <c r="I322" s="225">
        <f t="shared" si="151"/>
        <v>0</v>
      </c>
      <c r="J322" s="197"/>
      <c r="K322" s="224">
        <f t="shared" si="198"/>
        <v>24.233652524271839</v>
      </c>
      <c r="L322" s="224">
        <f t="shared" si="191"/>
        <v>2.0009437864077664</v>
      </c>
      <c r="M322" s="224">
        <f t="shared" si="199"/>
        <v>22.232708737864073</v>
      </c>
      <c r="N322" s="282">
        <v>12</v>
      </c>
      <c r="O322" s="282">
        <f>O287</f>
        <v>6.9815533980582449</v>
      </c>
      <c r="P322" s="282">
        <v>1.23</v>
      </c>
      <c r="Q322" s="282"/>
      <c r="R322" s="226">
        <v>0.1</v>
      </c>
      <c r="S322" s="227">
        <f t="shared" si="200"/>
        <v>2.0211553398058246</v>
      </c>
      <c r="T322" s="348" t="s">
        <v>789</v>
      </c>
      <c r="U322" s="248"/>
    </row>
    <row r="323" spans="1:21" ht="63" outlineLevel="1">
      <c r="A323" s="370">
        <v>13</v>
      </c>
      <c r="B323" s="221">
        <v>2</v>
      </c>
      <c r="C323" s="222" t="s">
        <v>932</v>
      </c>
      <c r="D323" s="222" t="s">
        <v>933</v>
      </c>
      <c r="E323" s="222" t="s">
        <v>584</v>
      </c>
      <c r="F323" s="221" t="s">
        <v>265</v>
      </c>
      <c r="G323" s="225">
        <v>0</v>
      </c>
      <c r="H323" s="225">
        <f t="shared" si="150"/>
        <v>0</v>
      </c>
      <c r="I323" s="225">
        <f t="shared" si="151"/>
        <v>0</v>
      </c>
      <c r="J323" s="197"/>
      <c r="K323" s="224"/>
      <c r="L323" s="224">
        <f t="shared" si="191"/>
        <v>0</v>
      </c>
      <c r="M323" s="224"/>
      <c r="N323" s="282"/>
      <c r="O323" s="282"/>
      <c r="P323" s="282"/>
      <c r="Q323" s="282"/>
      <c r="R323" s="226">
        <v>0.1</v>
      </c>
      <c r="S323" s="227"/>
      <c r="T323" s="348"/>
      <c r="U323" s="248"/>
    </row>
    <row r="324" spans="1:21" ht="52.5" outlineLevel="2">
      <c r="A324" s="370"/>
      <c r="B324" s="248">
        <v>3</v>
      </c>
      <c r="C324" s="222" t="s">
        <v>618</v>
      </c>
      <c r="D324" s="222" t="s">
        <v>934</v>
      </c>
      <c r="E324" s="211"/>
      <c r="F324" s="221" t="s">
        <v>265</v>
      </c>
      <c r="G324" s="225">
        <v>0</v>
      </c>
      <c r="H324" s="225">
        <f t="shared" si="150"/>
        <v>0</v>
      </c>
      <c r="I324" s="225">
        <f t="shared" si="151"/>
        <v>0</v>
      </c>
      <c r="J324" s="197"/>
      <c r="K324" s="224">
        <f t="shared" ref="K324:K325" si="201">L324+M324</f>
        <v>23.487220370825241</v>
      </c>
      <c r="L324" s="224">
        <f t="shared" si="191"/>
        <v>1.939311773737864</v>
      </c>
      <c r="M324" s="224">
        <f t="shared" ref="M324:M325" si="202">N324+O324+P324+Q324+S324</f>
        <v>21.547908597087378</v>
      </c>
      <c r="N324" s="282">
        <v>12</v>
      </c>
      <c r="O324" s="282">
        <f>7.745*调差材料基价表!$E$63/1000+0.0203*调差材料基价表!$E$64</f>
        <v>6.3590078155339791</v>
      </c>
      <c r="P324" s="282">
        <v>1.23</v>
      </c>
      <c r="Q324" s="282"/>
      <c r="R324" s="226">
        <v>0.1</v>
      </c>
      <c r="S324" s="227">
        <f t="shared" si="200"/>
        <v>1.9589007815533979</v>
      </c>
      <c r="T324" s="348" t="s">
        <v>514</v>
      </c>
      <c r="U324" s="248"/>
    </row>
    <row r="325" spans="1:21" ht="31.5" outlineLevel="2">
      <c r="A325" s="370"/>
      <c r="B325" s="248">
        <v>3</v>
      </c>
      <c r="C325" s="222" t="s">
        <v>432</v>
      </c>
      <c r="D325" s="222" t="s">
        <v>935</v>
      </c>
      <c r="E325" s="211"/>
      <c r="F325" s="221" t="s">
        <v>265</v>
      </c>
      <c r="G325" s="225">
        <v>0</v>
      </c>
      <c r="H325" s="225">
        <f t="shared" si="150"/>
        <v>0</v>
      </c>
      <c r="I325" s="225">
        <f t="shared" si="151"/>
        <v>0</v>
      </c>
      <c r="J325" s="197"/>
      <c r="K325" s="224">
        <f t="shared" si="201"/>
        <v>24.233652524271839</v>
      </c>
      <c r="L325" s="224">
        <f t="shared" si="191"/>
        <v>2.0009437864077664</v>
      </c>
      <c r="M325" s="224">
        <f t="shared" si="202"/>
        <v>22.232708737864073</v>
      </c>
      <c r="N325" s="282">
        <v>12</v>
      </c>
      <c r="O325" s="282">
        <f>0.0153*调差材料基价表!$E$47</f>
        <v>6.9815533980582449</v>
      </c>
      <c r="P325" s="282">
        <v>1.23</v>
      </c>
      <c r="Q325" s="282"/>
      <c r="R325" s="226">
        <v>0.1</v>
      </c>
      <c r="S325" s="227">
        <f t="shared" si="200"/>
        <v>2.0211553398058246</v>
      </c>
      <c r="T325" s="348" t="s">
        <v>789</v>
      </c>
      <c r="U325" s="248"/>
    </row>
    <row r="326" spans="1:21" ht="378" outlineLevel="1">
      <c r="A326" s="370">
        <v>14</v>
      </c>
      <c r="B326" s="221">
        <v>2</v>
      </c>
      <c r="C326" s="222" t="s">
        <v>936</v>
      </c>
      <c r="D326" s="307" t="s">
        <v>937</v>
      </c>
      <c r="E326" s="222" t="s">
        <v>938</v>
      </c>
      <c r="F326" s="221" t="s">
        <v>265</v>
      </c>
      <c r="G326" s="225">
        <v>0</v>
      </c>
      <c r="H326" s="225">
        <f t="shared" si="150"/>
        <v>0</v>
      </c>
      <c r="I326" s="225">
        <f t="shared" si="151"/>
        <v>0</v>
      </c>
      <c r="J326" s="197"/>
      <c r="K326" s="224">
        <f t="shared" si="198"/>
        <v>28.029826213592223</v>
      </c>
      <c r="L326" s="224">
        <f t="shared" si="191"/>
        <v>2.3143893203883485</v>
      </c>
      <c r="M326" s="224">
        <f t="shared" si="199"/>
        <v>25.715436893203876</v>
      </c>
      <c r="N326" s="282">
        <v>14</v>
      </c>
      <c r="O326" s="282">
        <f>0.0133*调差材料基价表!$E$47+0.0071*调差材料基价表!$E$48</f>
        <v>9.3776699029126149</v>
      </c>
      <c r="P326" s="282"/>
      <c r="Q326" s="282"/>
      <c r="R326" s="226">
        <v>0.1</v>
      </c>
      <c r="S326" s="227">
        <f t="shared" si="200"/>
        <v>2.3377669902912617</v>
      </c>
      <c r="T326" s="348" t="s">
        <v>939</v>
      </c>
      <c r="U326" s="248"/>
    </row>
    <row r="327" spans="1:21" ht="378" outlineLevel="1">
      <c r="A327" s="370">
        <v>15</v>
      </c>
      <c r="B327" s="221">
        <v>3</v>
      </c>
      <c r="C327" s="222" t="s">
        <v>936</v>
      </c>
      <c r="D327" s="307" t="s">
        <v>940</v>
      </c>
      <c r="E327" s="222" t="s">
        <v>938</v>
      </c>
      <c r="F327" s="221" t="s">
        <v>265</v>
      </c>
      <c r="G327" s="225">
        <v>0</v>
      </c>
      <c r="H327" s="225">
        <f t="shared" si="150"/>
        <v>0</v>
      </c>
      <c r="I327" s="225">
        <f t="shared" si="151"/>
        <v>0</v>
      </c>
      <c r="J327" s="197"/>
      <c r="K327" s="224">
        <f t="shared" si="198"/>
        <v>26.245150648669899</v>
      </c>
      <c r="L327" s="224">
        <f t="shared" si="191"/>
        <v>2.1670307875048542</v>
      </c>
      <c r="M327" s="224">
        <f t="shared" si="199"/>
        <v>24.078119861165046</v>
      </c>
      <c r="N327" s="282">
        <v>14</v>
      </c>
      <c r="O327" s="282">
        <f>8.783*调差材料基价表!$E$63/1000+0.0269*调差材料基价表!$E$64</f>
        <v>7.8891998737864064</v>
      </c>
      <c r="P327" s="282"/>
      <c r="Q327" s="282"/>
      <c r="R327" s="226">
        <v>0.1</v>
      </c>
      <c r="S327" s="227">
        <f t="shared" si="200"/>
        <v>2.1889199873786409</v>
      </c>
      <c r="T327" s="348" t="s">
        <v>610</v>
      </c>
      <c r="U327" s="248"/>
    </row>
    <row r="328" spans="1:21" ht="21" outlineLevel="1">
      <c r="A328" s="370">
        <v>16</v>
      </c>
      <c r="B328" s="221">
        <v>2</v>
      </c>
      <c r="C328" s="222" t="s">
        <v>941</v>
      </c>
      <c r="D328" s="222" t="s">
        <v>942</v>
      </c>
      <c r="E328" s="222" t="s">
        <v>943</v>
      </c>
      <c r="F328" s="221" t="s">
        <v>265</v>
      </c>
      <c r="G328" s="225">
        <v>0</v>
      </c>
      <c r="H328" s="225">
        <f t="shared" si="150"/>
        <v>0</v>
      </c>
      <c r="I328" s="225">
        <f t="shared" si="151"/>
        <v>0</v>
      </c>
      <c r="J328" s="197"/>
      <c r="K328" s="224">
        <f t="shared" ref="K328:K334" si="203">L328+M328</f>
        <v>19.783499999999997</v>
      </c>
      <c r="L328" s="224">
        <f t="shared" si="191"/>
        <v>1.6334999999999997</v>
      </c>
      <c r="M328" s="224">
        <f t="shared" ref="M328:M334" si="204">N328+O328+P328+Q328+S328</f>
        <v>18.149999999999999</v>
      </c>
      <c r="N328" s="282">
        <v>12</v>
      </c>
      <c r="O328" s="282">
        <v>4.5</v>
      </c>
      <c r="P328" s="282"/>
      <c r="Q328" s="282">
        <v>0</v>
      </c>
      <c r="R328" s="226">
        <v>0.1</v>
      </c>
      <c r="S328" s="227">
        <f t="shared" ref="S328:S334" si="205">SUM(N328:Q328)*R328</f>
        <v>1.6500000000000001</v>
      </c>
      <c r="T328" s="348"/>
      <c r="U328" s="248"/>
    </row>
    <row r="329" spans="1:21" ht="31.5" outlineLevel="1">
      <c r="A329" s="370">
        <v>17</v>
      </c>
      <c r="B329" s="221">
        <v>2</v>
      </c>
      <c r="C329" s="222" t="s">
        <v>944</v>
      </c>
      <c r="D329" s="222" t="s">
        <v>945</v>
      </c>
      <c r="E329" s="222"/>
      <c r="F329" s="221" t="s">
        <v>265</v>
      </c>
      <c r="G329" s="225">
        <v>0</v>
      </c>
      <c r="H329" s="225"/>
      <c r="I329" s="225"/>
      <c r="J329" s="197"/>
      <c r="K329" s="224"/>
      <c r="L329" s="224"/>
      <c r="M329" s="224"/>
      <c r="N329" s="282"/>
      <c r="O329" s="282"/>
      <c r="P329" s="282"/>
      <c r="Q329" s="282"/>
      <c r="R329" s="226"/>
      <c r="S329" s="227"/>
      <c r="T329" s="348"/>
      <c r="U329" s="248"/>
    </row>
    <row r="330" spans="1:21" ht="252" outlineLevel="1">
      <c r="A330" s="370">
        <v>18</v>
      </c>
      <c r="B330" s="221">
        <v>2</v>
      </c>
      <c r="C330" s="222" t="s">
        <v>946</v>
      </c>
      <c r="D330" s="222" t="s">
        <v>947</v>
      </c>
      <c r="E330" s="222" t="s">
        <v>584</v>
      </c>
      <c r="F330" s="221" t="s">
        <v>265</v>
      </c>
      <c r="G330" s="225">
        <v>0</v>
      </c>
      <c r="H330" s="225">
        <f t="shared" ref="H330:H335" si="206">G330*K330</f>
        <v>0</v>
      </c>
      <c r="I330" s="225">
        <f t="shared" ref="I330:I335" si="207">G330*K330*(1+J330)</f>
        <v>0</v>
      </c>
      <c r="J330" s="197"/>
      <c r="K330" s="224">
        <f t="shared" si="203"/>
        <v>38.487899999999996</v>
      </c>
      <c r="L330" s="224">
        <f t="shared" si="191"/>
        <v>3.1778999999999993</v>
      </c>
      <c r="M330" s="224">
        <f t="shared" si="204"/>
        <v>35.309999999999995</v>
      </c>
      <c r="N330" s="282">
        <v>25</v>
      </c>
      <c r="O330" s="282">
        <f>0.0133*调差材料基价表!$E$58+0.0071*调差材料基价表!$E$59</f>
        <v>7.099999999999997</v>
      </c>
      <c r="P330" s="282"/>
      <c r="Q330" s="282">
        <v>0</v>
      </c>
      <c r="R330" s="226">
        <v>0.1</v>
      </c>
      <c r="S330" s="227">
        <f t="shared" si="205"/>
        <v>3.2099999999999995</v>
      </c>
      <c r="T330" s="222" t="s">
        <v>948</v>
      </c>
      <c r="U330" s="248"/>
    </row>
    <row r="331" spans="1:21" ht="241.5" outlineLevel="1">
      <c r="A331" s="370">
        <v>19</v>
      </c>
      <c r="B331" s="221">
        <v>2</v>
      </c>
      <c r="C331" s="222" t="s">
        <v>946</v>
      </c>
      <c r="D331" s="222" t="s">
        <v>949</v>
      </c>
      <c r="E331" s="222" t="s">
        <v>584</v>
      </c>
      <c r="F331" s="221" t="s">
        <v>265</v>
      </c>
      <c r="G331" s="225">
        <v>132094.06599999999</v>
      </c>
      <c r="H331" s="225">
        <f t="shared" si="206"/>
        <v>5209017.2984393453</v>
      </c>
      <c r="I331" s="225">
        <f t="shared" si="207"/>
        <v>5209017.2984393453</v>
      </c>
      <c r="J331" s="197"/>
      <c r="K331" s="224">
        <f t="shared" si="203"/>
        <v>39.434150648669906</v>
      </c>
      <c r="L331" s="224">
        <f t="shared" si="191"/>
        <v>3.2560307875048546</v>
      </c>
      <c r="M331" s="224">
        <f t="shared" si="204"/>
        <v>36.178119861165051</v>
      </c>
      <c r="N331" s="282">
        <v>25</v>
      </c>
      <c r="O331" s="282">
        <f>8.783*调差材料基价表!$E$63/1000+0.0269*调差材料基价表!$E$64</f>
        <v>7.8891998737864064</v>
      </c>
      <c r="P331" s="282"/>
      <c r="Q331" s="282"/>
      <c r="R331" s="226">
        <v>0.1</v>
      </c>
      <c r="S331" s="227">
        <f t="shared" si="205"/>
        <v>3.288919987378641</v>
      </c>
      <c r="T331" s="222" t="s">
        <v>610</v>
      </c>
      <c r="U331" s="248"/>
    </row>
    <row r="332" spans="1:21" ht="231" outlineLevel="1">
      <c r="A332" s="370">
        <v>20</v>
      </c>
      <c r="B332" s="221">
        <v>2</v>
      </c>
      <c r="C332" s="222" t="s">
        <v>946</v>
      </c>
      <c r="D332" s="222" t="s">
        <v>950</v>
      </c>
      <c r="E332" s="222" t="s">
        <v>584</v>
      </c>
      <c r="F332" s="221" t="s">
        <v>265</v>
      </c>
      <c r="G332" s="225">
        <v>0</v>
      </c>
      <c r="H332" s="225">
        <f t="shared" si="206"/>
        <v>0</v>
      </c>
      <c r="I332" s="225">
        <f t="shared" si="207"/>
        <v>0</v>
      </c>
      <c r="J332" s="197"/>
      <c r="K332" s="224">
        <f t="shared" si="203"/>
        <v>35.471192718446602</v>
      </c>
      <c r="L332" s="224">
        <f t="shared" si="191"/>
        <v>2.9288140776699025</v>
      </c>
      <c r="M332" s="224">
        <f t="shared" si="204"/>
        <v>32.542378640776697</v>
      </c>
      <c r="N332" s="282">
        <v>25</v>
      </c>
      <c r="O332" s="282">
        <f>0.0133*调差材料基价表!$E$58</f>
        <v>4.5839805825242683</v>
      </c>
      <c r="P332" s="282"/>
      <c r="Q332" s="282">
        <v>0</v>
      </c>
      <c r="R332" s="226">
        <v>0.1</v>
      </c>
      <c r="S332" s="227">
        <f t="shared" si="205"/>
        <v>2.9583980582524272</v>
      </c>
      <c r="T332" s="222" t="s">
        <v>951</v>
      </c>
      <c r="U332" s="248"/>
    </row>
    <row r="333" spans="1:21" ht="220.5" outlineLevel="1">
      <c r="A333" s="370">
        <v>21</v>
      </c>
      <c r="B333" s="221">
        <v>2</v>
      </c>
      <c r="C333" s="222" t="s">
        <v>946</v>
      </c>
      <c r="D333" s="222" t="s">
        <v>952</v>
      </c>
      <c r="E333" s="222" t="s">
        <v>584</v>
      </c>
      <c r="F333" s="221" t="s">
        <v>265</v>
      </c>
      <c r="G333" s="225">
        <v>0</v>
      </c>
      <c r="H333" s="225">
        <f t="shared" si="206"/>
        <v>0</v>
      </c>
      <c r="I333" s="225">
        <f t="shared" si="207"/>
        <v>0</v>
      </c>
      <c r="J333" s="197"/>
      <c r="K333" s="224">
        <f t="shared" si="203"/>
        <v>36.011336910252425</v>
      </c>
      <c r="L333" s="224">
        <f t="shared" si="191"/>
        <v>2.97341313937864</v>
      </c>
      <c r="M333" s="224">
        <f t="shared" si="204"/>
        <v>33.037923770873782</v>
      </c>
      <c r="N333" s="282">
        <v>25</v>
      </c>
      <c r="O333" s="282">
        <f>5.396*调差材料基价表!$E$63/1000+0.0176*调差材料基价表!$E$64</f>
        <v>5.0344761553398047</v>
      </c>
      <c r="P333" s="282"/>
      <c r="Q333" s="282"/>
      <c r="R333" s="226">
        <v>0.1</v>
      </c>
      <c r="S333" s="227">
        <f t="shared" si="205"/>
        <v>3.0034476155339807</v>
      </c>
      <c r="T333" s="222" t="s">
        <v>953</v>
      </c>
      <c r="U333" s="248"/>
    </row>
    <row r="334" spans="1:21" ht="31.5" outlineLevel="1">
      <c r="A334" s="370">
        <v>22</v>
      </c>
      <c r="B334" s="370">
        <v>2</v>
      </c>
      <c r="C334" s="222" t="s">
        <v>954</v>
      </c>
      <c r="D334" s="222" t="s">
        <v>955</v>
      </c>
      <c r="E334" s="222" t="s">
        <v>956</v>
      </c>
      <c r="F334" s="221" t="s">
        <v>265</v>
      </c>
      <c r="G334" s="225">
        <v>0</v>
      </c>
      <c r="H334" s="225">
        <f t="shared" si="206"/>
        <v>0</v>
      </c>
      <c r="I334" s="225">
        <f t="shared" si="207"/>
        <v>0</v>
      </c>
      <c r="J334" s="197"/>
      <c r="K334" s="224">
        <f t="shared" si="203"/>
        <v>5.9950000000000001</v>
      </c>
      <c r="L334" s="224">
        <f t="shared" si="191"/>
        <v>0.495</v>
      </c>
      <c r="M334" s="224">
        <f t="shared" si="204"/>
        <v>5.5</v>
      </c>
      <c r="N334" s="224">
        <v>2</v>
      </c>
      <c r="O334" s="224">
        <v>3</v>
      </c>
      <c r="P334" s="282"/>
      <c r="Q334" s="224">
        <v>0</v>
      </c>
      <c r="R334" s="226">
        <v>0.1</v>
      </c>
      <c r="S334" s="227">
        <f t="shared" si="205"/>
        <v>0.5</v>
      </c>
      <c r="T334" s="348"/>
      <c r="U334" s="248"/>
    </row>
    <row r="335" spans="1:21" ht="136.5" outlineLevel="1">
      <c r="A335" s="370">
        <v>23</v>
      </c>
      <c r="B335" s="370">
        <v>2</v>
      </c>
      <c r="C335" s="222" t="s">
        <v>957</v>
      </c>
      <c r="D335" s="222" t="s">
        <v>958</v>
      </c>
      <c r="E335" s="222" t="s">
        <v>959</v>
      </c>
      <c r="F335" s="221" t="s">
        <v>265</v>
      </c>
      <c r="G335" s="225">
        <v>0</v>
      </c>
      <c r="H335" s="225">
        <f t="shared" si="206"/>
        <v>0</v>
      </c>
      <c r="I335" s="225">
        <f t="shared" si="207"/>
        <v>0</v>
      </c>
      <c r="J335" s="197"/>
      <c r="K335" s="224">
        <f t="shared" ref="K335" si="208">L335+M335</f>
        <v>13.189</v>
      </c>
      <c r="L335" s="224">
        <f t="shared" si="191"/>
        <v>1.089</v>
      </c>
      <c r="M335" s="224">
        <f t="shared" ref="M335" si="209">N335+O335+P335+Q335+S335</f>
        <v>12.1</v>
      </c>
      <c r="N335" s="282">
        <v>5</v>
      </c>
      <c r="O335" s="282">
        <v>6</v>
      </c>
      <c r="P335" s="282"/>
      <c r="Q335" s="282">
        <v>0</v>
      </c>
      <c r="R335" s="226">
        <v>0.1</v>
      </c>
      <c r="S335" s="224">
        <f t="shared" ref="S335" si="210">SUM(N335:Q335)*R335</f>
        <v>1.1000000000000001</v>
      </c>
      <c r="T335" s="341" t="s">
        <v>591</v>
      </c>
      <c r="U335" s="303" t="s">
        <v>960</v>
      </c>
    </row>
    <row r="336" spans="1:21" ht="13.5">
      <c r="A336" s="221"/>
      <c r="B336" s="221"/>
      <c r="C336" s="211" t="s">
        <v>248</v>
      </c>
      <c r="D336" s="222"/>
      <c r="E336" s="222"/>
      <c r="F336" s="221"/>
      <c r="G336" s="225">
        <v>0</v>
      </c>
      <c r="H336" s="344">
        <f>SUM(H263:H335)</f>
        <v>20354212.574832033</v>
      </c>
      <c r="I336" s="344">
        <f>SUM(I263:I335)</f>
        <v>20354212.574832033</v>
      </c>
      <c r="J336" s="221"/>
      <c r="K336" s="303"/>
      <c r="L336" s="224">
        <f t="shared" si="191"/>
        <v>0</v>
      </c>
      <c r="M336" s="248"/>
      <c r="N336" s="248"/>
      <c r="O336" s="248"/>
      <c r="P336" s="248"/>
      <c r="Q336" s="248"/>
      <c r="R336" s="226">
        <v>0.1</v>
      </c>
      <c r="S336" s="248"/>
      <c r="T336" s="348"/>
      <c r="U336" s="248"/>
    </row>
    <row r="337" spans="1:25" ht="13.5">
      <c r="A337" s="221" t="s">
        <v>425</v>
      </c>
      <c r="B337" s="209">
        <v>1</v>
      </c>
      <c r="C337" s="211" t="s">
        <v>627</v>
      </c>
      <c r="D337" s="211"/>
      <c r="E337" s="211"/>
      <c r="F337" s="221"/>
      <c r="G337" s="225">
        <v>0</v>
      </c>
      <c r="H337" s="221"/>
      <c r="I337" s="221"/>
      <c r="J337" s="221"/>
      <c r="K337" s="224">
        <f t="shared" ref="K337" si="211">L337+M337</f>
        <v>0</v>
      </c>
      <c r="L337" s="224">
        <f t="shared" si="191"/>
        <v>0</v>
      </c>
      <c r="M337" s="224">
        <f t="shared" ref="M337" si="212">N337+O337+P337+Q337+S337</f>
        <v>0</v>
      </c>
      <c r="N337" s="282"/>
      <c r="O337" s="282"/>
      <c r="P337" s="282"/>
      <c r="Q337" s="282"/>
      <c r="R337" s="226">
        <v>0.1</v>
      </c>
      <c r="S337" s="224"/>
      <c r="T337" s="341"/>
      <c r="U337" s="220"/>
      <c r="V337" s="8"/>
      <c r="W337" s="8"/>
      <c r="X337" s="8"/>
      <c r="Y337" s="8"/>
    </row>
    <row r="338" spans="1:25" ht="31.5" outlineLevel="1">
      <c r="A338" s="221">
        <v>1</v>
      </c>
      <c r="B338" s="221">
        <v>2</v>
      </c>
      <c r="C338" s="222" t="s">
        <v>961</v>
      </c>
      <c r="D338" s="222" t="s">
        <v>263</v>
      </c>
      <c r="E338" s="222" t="s">
        <v>629</v>
      </c>
      <c r="F338" s="221"/>
      <c r="G338" s="225">
        <v>0</v>
      </c>
      <c r="H338" s="225">
        <f t="shared" ref="H338" si="213">G338*K338</f>
        <v>0</v>
      </c>
      <c r="I338" s="225">
        <f t="shared" ref="I338" si="214">G338*K338*(1+J338)</f>
        <v>0</v>
      </c>
      <c r="J338" s="197"/>
      <c r="K338" s="224"/>
      <c r="L338" s="224">
        <f t="shared" si="191"/>
        <v>0</v>
      </c>
      <c r="M338" s="224"/>
      <c r="N338" s="282"/>
      <c r="O338" s="282"/>
      <c r="P338" s="282"/>
      <c r="Q338" s="282"/>
      <c r="R338" s="226">
        <v>0.1</v>
      </c>
      <c r="S338" s="227"/>
      <c r="T338" s="349"/>
      <c r="U338" s="220"/>
      <c r="V338" s="8"/>
      <c r="W338" s="8"/>
      <c r="X338" s="8"/>
      <c r="Y338" s="8"/>
    </row>
    <row r="339" spans="1:25" ht="21" outlineLevel="2">
      <c r="A339" s="221"/>
      <c r="B339" s="221">
        <v>3</v>
      </c>
      <c r="C339" s="222" t="s">
        <v>266</v>
      </c>
      <c r="D339" s="222" t="s">
        <v>590</v>
      </c>
      <c r="E339" s="222"/>
      <c r="F339" s="221" t="s">
        <v>265</v>
      </c>
      <c r="G339" s="225">
        <v>0</v>
      </c>
      <c r="H339" s="225">
        <f t="shared" ref="H339:H345" si="215">G339*K339</f>
        <v>0</v>
      </c>
      <c r="I339" s="225">
        <f t="shared" ref="I339:I345" si="216">G339*K339*(1+J339)</f>
        <v>0</v>
      </c>
      <c r="J339" s="197"/>
      <c r="K339" s="224">
        <f t="shared" ref="K339:K341" si="217">L339+M339</f>
        <v>11.390499999999999</v>
      </c>
      <c r="L339" s="224">
        <f t="shared" si="191"/>
        <v>0.94049999999999989</v>
      </c>
      <c r="M339" s="224">
        <f t="shared" ref="M339:M341" si="218">N339+O339+P339+Q339+S339</f>
        <v>10.45</v>
      </c>
      <c r="N339" s="282">
        <v>3.5</v>
      </c>
      <c r="O339" s="282">
        <v>6</v>
      </c>
      <c r="P339" s="282">
        <v>0</v>
      </c>
      <c r="Q339" s="282">
        <v>0</v>
      </c>
      <c r="R339" s="226">
        <v>0.1</v>
      </c>
      <c r="S339" s="224">
        <f t="shared" ref="S339:S341" si="219">SUM(N339:Q339)*R339</f>
        <v>0.95000000000000007</v>
      </c>
      <c r="T339" s="341" t="s">
        <v>591</v>
      </c>
      <c r="U339" s="303" t="s">
        <v>592</v>
      </c>
      <c r="V339" s="8"/>
      <c r="W339" s="8"/>
      <c r="X339" s="8"/>
      <c r="Y339" s="8"/>
    </row>
    <row r="340" spans="1:25" ht="21" outlineLevel="2">
      <c r="A340" s="221"/>
      <c r="B340" s="221">
        <v>3</v>
      </c>
      <c r="C340" s="222" t="s">
        <v>269</v>
      </c>
      <c r="D340" s="222" t="s">
        <v>593</v>
      </c>
      <c r="E340" s="222"/>
      <c r="F340" s="221" t="s">
        <v>265</v>
      </c>
      <c r="G340" s="225">
        <v>0</v>
      </c>
      <c r="H340" s="225">
        <f t="shared" si="215"/>
        <v>0</v>
      </c>
      <c r="I340" s="225">
        <f t="shared" si="216"/>
        <v>0</v>
      </c>
      <c r="J340" s="197"/>
      <c r="K340" s="224">
        <f t="shared" si="217"/>
        <v>13.189</v>
      </c>
      <c r="L340" s="224">
        <f t="shared" si="191"/>
        <v>1.089</v>
      </c>
      <c r="M340" s="224">
        <f t="shared" si="218"/>
        <v>12.1</v>
      </c>
      <c r="N340" s="282">
        <v>5</v>
      </c>
      <c r="O340" s="282">
        <v>6</v>
      </c>
      <c r="P340" s="282">
        <v>0</v>
      </c>
      <c r="Q340" s="282">
        <v>0</v>
      </c>
      <c r="R340" s="226">
        <v>0.1</v>
      </c>
      <c r="S340" s="224">
        <f t="shared" si="219"/>
        <v>1.1000000000000001</v>
      </c>
      <c r="T340" s="341" t="s">
        <v>591</v>
      </c>
      <c r="U340" s="303" t="s">
        <v>592</v>
      </c>
      <c r="V340" s="8"/>
      <c r="W340" s="8"/>
      <c r="X340" s="8"/>
      <c r="Y340" s="8"/>
    </row>
    <row r="341" spans="1:25" ht="42" outlineLevel="1">
      <c r="A341" s="221">
        <v>2</v>
      </c>
      <c r="B341" s="221">
        <v>2</v>
      </c>
      <c r="C341" s="222" t="s">
        <v>962</v>
      </c>
      <c r="D341" s="222" t="s">
        <v>593</v>
      </c>
      <c r="E341" s="222" t="s">
        <v>629</v>
      </c>
      <c r="F341" s="221" t="s">
        <v>265</v>
      </c>
      <c r="G341" s="225">
        <v>86789.348447027398</v>
      </c>
      <c r="H341" s="225">
        <f t="shared" si="215"/>
        <v>1248464.9943838604</v>
      </c>
      <c r="I341" s="225">
        <f t="shared" si="216"/>
        <v>1248464.9943838604</v>
      </c>
      <c r="J341" s="197"/>
      <c r="K341" s="224">
        <f t="shared" si="217"/>
        <v>14.385002500000001</v>
      </c>
      <c r="L341" s="224">
        <f t="shared" si="191"/>
        <v>1.1877525</v>
      </c>
      <c r="M341" s="224">
        <f t="shared" si="218"/>
        <v>13.19725</v>
      </c>
      <c r="N341" s="282">
        <v>5.5</v>
      </c>
      <c r="O341" s="282">
        <v>6</v>
      </c>
      <c r="P341" s="282">
        <v>0.14924999999999999</v>
      </c>
      <c r="Q341" s="282">
        <v>0.34825</v>
      </c>
      <c r="R341" s="226">
        <v>0.1</v>
      </c>
      <c r="S341" s="224">
        <f t="shared" si="219"/>
        <v>1.1997500000000001</v>
      </c>
      <c r="T341" s="341" t="s">
        <v>591</v>
      </c>
      <c r="U341" s="303" t="s">
        <v>592</v>
      </c>
      <c r="V341" s="8"/>
      <c r="W341" s="8"/>
      <c r="X341" s="8"/>
      <c r="Y341" s="8"/>
    </row>
    <row r="342" spans="1:25" ht="31.5" outlineLevel="1">
      <c r="A342" s="221">
        <v>3</v>
      </c>
      <c r="B342" s="221">
        <v>2</v>
      </c>
      <c r="C342" s="222" t="s">
        <v>963</v>
      </c>
      <c r="D342" s="222" t="s">
        <v>263</v>
      </c>
      <c r="E342" s="222" t="s">
        <v>629</v>
      </c>
      <c r="F342" s="221"/>
      <c r="G342" s="225">
        <v>0</v>
      </c>
      <c r="H342" s="225">
        <f t="shared" si="215"/>
        <v>0</v>
      </c>
      <c r="I342" s="225">
        <f t="shared" si="216"/>
        <v>0</v>
      </c>
      <c r="J342" s="197"/>
      <c r="K342" s="224"/>
      <c r="L342" s="224">
        <f t="shared" si="191"/>
        <v>0</v>
      </c>
      <c r="M342" s="224"/>
      <c r="N342" s="282"/>
      <c r="O342" s="282"/>
      <c r="P342" s="282"/>
      <c r="Q342" s="282"/>
      <c r="R342" s="226">
        <v>0.1</v>
      </c>
      <c r="S342" s="227"/>
      <c r="T342" s="349"/>
      <c r="U342" s="220"/>
      <c r="V342" s="8"/>
      <c r="W342" s="8"/>
      <c r="X342" s="8"/>
      <c r="Y342" s="8"/>
    </row>
    <row r="343" spans="1:25" ht="21" outlineLevel="2">
      <c r="A343" s="221"/>
      <c r="B343" s="221">
        <v>3</v>
      </c>
      <c r="C343" s="222" t="s">
        <v>266</v>
      </c>
      <c r="D343" s="222" t="s">
        <v>964</v>
      </c>
      <c r="E343" s="222"/>
      <c r="F343" s="221" t="s">
        <v>265</v>
      </c>
      <c r="G343" s="225">
        <v>0</v>
      </c>
      <c r="H343" s="225">
        <f t="shared" si="215"/>
        <v>0</v>
      </c>
      <c r="I343" s="225">
        <f t="shared" si="216"/>
        <v>0</v>
      </c>
      <c r="J343" s="197"/>
      <c r="K343" s="224">
        <f t="shared" ref="K343:K345" si="220">L343+M343</f>
        <v>17.984999999999999</v>
      </c>
      <c r="L343" s="224">
        <f t="shared" si="191"/>
        <v>1.4849999999999999</v>
      </c>
      <c r="M343" s="224">
        <f t="shared" ref="M343:M345" si="221">N343+O343+P343+Q343+S343</f>
        <v>16.5</v>
      </c>
      <c r="N343" s="282">
        <v>9</v>
      </c>
      <c r="O343" s="282">
        <v>6</v>
      </c>
      <c r="P343" s="282">
        <v>0</v>
      </c>
      <c r="Q343" s="282">
        <v>0</v>
      </c>
      <c r="R343" s="226">
        <v>0.1</v>
      </c>
      <c r="S343" s="227">
        <f t="shared" ref="S343:S345" si="222">SUM(N343:Q343)*R343</f>
        <v>1.5</v>
      </c>
      <c r="T343" s="341" t="s">
        <v>591</v>
      </c>
      <c r="U343" s="303" t="s">
        <v>592</v>
      </c>
      <c r="V343" s="8"/>
      <c r="W343" s="8"/>
      <c r="X343" s="8"/>
      <c r="Y343" s="8"/>
    </row>
    <row r="344" spans="1:25" ht="21" outlineLevel="2">
      <c r="A344" s="221"/>
      <c r="B344" s="221">
        <v>3</v>
      </c>
      <c r="C344" s="222" t="s">
        <v>269</v>
      </c>
      <c r="D344" s="222" t="s">
        <v>593</v>
      </c>
      <c r="E344" s="222"/>
      <c r="F344" s="221" t="s">
        <v>265</v>
      </c>
      <c r="G344" s="225">
        <v>0</v>
      </c>
      <c r="H344" s="225">
        <f t="shared" si="215"/>
        <v>0</v>
      </c>
      <c r="I344" s="225">
        <f t="shared" si="216"/>
        <v>0</v>
      </c>
      <c r="J344" s="197"/>
      <c r="K344" s="224">
        <f t="shared" si="220"/>
        <v>13.189</v>
      </c>
      <c r="L344" s="224">
        <f t="shared" si="191"/>
        <v>1.089</v>
      </c>
      <c r="M344" s="224">
        <f t="shared" si="221"/>
        <v>12.1</v>
      </c>
      <c r="N344" s="282">
        <v>5</v>
      </c>
      <c r="O344" s="282">
        <v>6</v>
      </c>
      <c r="P344" s="282">
        <v>0</v>
      </c>
      <c r="Q344" s="282">
        <v>0</v>
      </c>
      <c r="R344" s="226">
        <v>0.1</v>
      </c>
      <c r="S344" s="224">
        <f t="shared" si="222"/>
        <v>1.1000000000000001</v>
      </c>
      <c r="T344" s="341" t="s">
        <v>591</v>
      </c>
      <c r="U344" s="303" t="s">
        <v>592</v>
      </c>
      <c r="V344" s="8"/>
      <c r="W344" s="8"/>
      <c r="X344" s="8"/>
      <c r="Y344" s="8"/>
    </row>
    <row r="345" spans="1:25" ht="42" outlineLevel="1">
      <c r="A345" s="221"/>
      <c r="B345" s="221">
        <v>2</v>
      </c>
      <c r="C345" s="222" t="s">
        <v>965</v>
      </c>
      <c r="D345" s="222" t="s">
        <v>966</v>
      </c>
      <c r="E345" s="222"/>
      <c r="F345" s="221" t="s">
        <v>265</v>
      </c>
      <c r="G345" s="225">
        <v>6674.9866987423802</v>
      </c>
      <c r="H345" s="225">
        <f t="shared" si="215"/>
        <v>116047.98125098566</v>
      </c>
      <c r="I345" s="225">
        <f t="shared" si="216"/>
        <v>116047.98125098566</v>
      </c>
      <c r="J345" s="197"/>
      <c r="K345" s="224">
        <f t="shared" si="220"/>
        <v>17.3855</v>
      </c>
      <c r="L345" s="224">
        <f t="shared" si="191"/>
        <v>1.4354999999999998</v>
      </c>
      <c r="M345" s="224">
        <f t="shared" si="221"/>
        <v>15.95</v>
      </c>
      <c r="N345" s="282">
        <v>8.5</v>
      </c>
      <c r="O345" s="282">
        <v>5</v>
      </c>
      <c r="P345" s="282">
        <v>1</v>
      </c>
      <c r="Q345" s="282">
        <v>0</v>
      </c>
      <c r="R345" s="226">
        <v>0.1</v>
      </c>
      <c r="S345" s="227">
        <f t="shared" si="222"/>
        <v>1.4500000000000002</v>
      </c>
      <c r="T345" s="349"/>
      <c r="U345" s="306"/>
      <c r="V345" s="8"/>
      <c r="W345" s="8"/>
      <c r="X345" s="8"/>
      <c r="Y345" s="8"/>
    </row>
    <row r="346" spans="1:25" ht="13.5">
      <c r="A346" s="221"/>
      <c r="B346" s="221"/>
      <c r="C346" s="211" t="s">
        <v>248</v>
      </c>
      <c r="D346" s="222"/>
      <c r="E346" s="222"/>
      <c r="F346" s="221"/>
      <c r="G346" s="225">
        <v>0</v>
      </c>
      <c r="H346" s="344">
        <f>SUM(H338:H345)</f>
        <v>1364512.9756348461</v>
      </c>
      <c r="I346" s="344">
        <f>SUM(I338:I345)</f>
        <v>1364512.9756348461</v>
      </c>
      <c r="J346" s="221"/>
      <c r="K346" s="224"/>
      <c r="L346" s="224">
        <f t="shared" si="191"/>
        <v>0</v>
      </c>
      <c r="M346" s="224"/>
      <c r="N346" s="282"/>
      <c r="O346" s="282"/>
      <c r="P346" s="282"/>
      <c r="Q346" s="282"/>
      <c r="R346" s="226">
        <v>0.1</v>
      </c>
      <c r="S346" s="224"/>
      <c r="T346" s="341"/>
      <c r="U346" s="220"/>
      <c r="V346" s="8"/>
      <c r="W346" s="8"/>
      <c r="X346" s="8"/>
      <c r="Y346" s="8"/>
    </row>
    <row r="347" spans="1:25" ht="13.5">
      <c r="A347" s="221" t="s">
        <v>545</v>
      </c>
      <c r="B347" s="209">
        <v>1</v>
      </c>
      <c r="C347" s="211" t="s">
        <v>967</v>
      </c>
      <c r="D347" s="348"/>
      <c r="E347" s="348"/>
      <c r="F347" s="370"/>
      <c r="G347" s="225">
        <v>0</v>
      </c>
      <c r="H347" s="370"/>
      <c r="I347" s="370"/>
      <c r="J347" s="370"/>
      <c r="K347" s="224">
        <f t="shared" ref="K347:K349" si="223">L347+M347</f>
        <v>0</v>
      </c>
      <c r="L347" s="224">
        <f t="shared" si="191"/>
        <v>0</v>
      </c>
      <c r="M347" s="224">
        <f t="shared" ref="M347:M349" si="224">N347+O347+P347+Q347+S347</f>
        <v>0</v>
      </c>
      <c r="N347" s="306"/>
      <c r="O347" s="306"/>
      <c r="P347" s="306"/>
      <c r="Q347" s="306"/>
      <c r="R347" s="226">
        <v>0.1</v>
      </c>
      <c r="S347" s="306"/>
      <c r="T347" s="306"/>
      <c r="U347" s="306"/>
      <c r="V347" s="8"/>
      <c r="W347" s="8"/>
      <c r="X347" s="8"/>
      <c r="Y347" s="8"/>
    </row>
    <row r="348" spans="1:25" ht="115.5" outlineLevel="1">
      <c r="A348" s="221">
        <v>1</v>
      </c>
      <c r="B348" s="221">
        <v>2</v>
      </c>
      <c r="C348" s="222" t="s">
        <v>968</v>
      </c>
      <c r="D348" s="222" t="s">
        <v>969</v>
      </c>
      <c r="E348" s="287" t="s">
        <v>970</v>
      </c>
      <c r="F348" s="370" t="s">
        <v>265</v>
      </c>
      <c r="G348" s="225">
        <v>0</v>
      </c>
      <c r="H348" s="225">
        <f t="shared" ref="H348:H349" si="225">G348*K348</f>
        <v>0</v>
      </c>
      <c r="I348" s="225">
        <f t="shared" ref="I348:I349" si="226">G348*K348*(1+J348)</f>
        <v>0</v>
      </c>
      <c r="J348" s="197"/>
      <c r="K348" s="224">
        <f t="shared" si="223"/>
        <v>66.460570000000004</v>
      </c>
      <c r="L348" s="224">
        <f t="shared" si="191"/>
        <v>5.4875699999999998</v>
      </c>
      <c r="M348" s="224">
        <f t="shared" si="224"/>
        <v>60.972999999999999</v>
      </c>
      <c r="N348" s="306">
        <v>25</v>
      </c>
      <c r="O348" s="306">
        <v>28.93</v>
      </c>
      <c r="P348" s="306">
        <v>1</v>
      </c>
      <c r="Q348" s="306">
        <v>0.5</v>
      </c>
      <c r="R348" s="226">
        <v>0.1</v>
      </c>
      <c r="S348" s="224">
        <f>SUM(N348:Q348)*R348</f>
        <v>5.5430000000000001</v>
      </c>
      <c r="T348" s="222"/>
      <c r="U348" s="220"/>
      <c r="V348" s="8"/>
      <c r="W348" s="8"/>
      <c r="X348" s="8"/>
      <c r="Y348" s="8"/>
    </row>
    <row r="349" spans="1:25" ht="115.5" outlineLevel="1">
      <c r="A349" s="221">
        <v>2</v>
      </c>
      <c r="B349" s="221">
        <v>2</v>
      </c>
      <c r="C349" s="222" t="s">
        <v>971</v>
      </c>
      <c r="D349" s="222" t="s">
        <v>972</v>
      </c>
      <c r="E349" s="287" t="s">
        <v>970</v>
      </c>
      <c r="F349" s="370" t="s">
        <v>265</v>
      </c>
      <c r="G349" s="225">
        <v>0</v>
      </c>
      <c r="H349" s="225">
        <f t="shared" si="225"/>
        <v>0</v>
      </c>
      <c r="I349" s="225">
        <f t="shared" si="226"/>
        <v>0</v>
      </c>
      <c r="J349" s="197"/>
      <c r="K349" s="224">
        <f t="shared" si="223"/>
        <v>56.48489</v>
      </c>
      <c r="L349" s="224">
        <f t="shared" si="191"/>
        <v>4.6638899999999994</v>
      </c>
      <c r="M349" s="224">
        <f t="shared" si="224"/>
        <v>51.820999999999998</v>
      </c>
      <c r="N349" s="306">
        <v>25</v>
      </c>
      <c r="O349" s="306">
        <v>20.61</v>
      </c>
      <c r="P349" s="306">
        <v>1</v>
      </c>
      <c r="Q349" s="306">
        <v>0.5</v>
      </c>
      <c r="R349" s="226">
        <v>0.1</v>
      </c>
      <c r="S349" s="224">
        <f>SUM(N349:Q349)*R349</f>
        <v>4.7110000000000003</v>
      </c>
      <c r="T349" s="222"/>
      <c r="U349" s="220"/>
      <c r="V349" s="8"/>
      <c r="W349" s="8"/>
      <c r="X349" s="8"/>
      <c r="Y349" s="8"/>
    </row>
    <row r="350" spans="1:25" ht="73.5" outlineLevel="1">
      <c r="A350" s="221">
        <v>3</v>
      </c>
      <c r="B350" s="221">
        <v>2</v>
      </c>
      <c r="C350" s="376" t="s">
        <v>973</v>
      </c>
      <c r="D350" s="222" t="s">
        <v>263</v>
      </c>
      <c r="E350" s="377" t="s">
        <v>482</v>
      </c>
      <c r="F350" s="378" t="s">
        <v>265</v>
      </c>
      <c r="G350" s="225">
        <v>0</v>
      </c>
      <c r="H350" s="225">
        <f t="shared" ref="H350:H375" si="227">G350*K350</f>
        <v>0</v>
      </c>
      <c r="I350" s="225">
        <f t="shared" ref="I350:I375" si="228">G350*K350*(1+J350)</f>
        <v>0</v>
      </c>
      <c r="J350" s="197"/>
      <c r="K350" s="224"/>
      <c r="L350" s="224">
        <f t="shared" ref="L350:L371" si="229">M350*0.09</f>
        <v>0</v>
      </c>
      <c r="M350" s="224"/>
      <c r="N350" s="306"/>
      <c r="O350" s="306"/>
      <c r="P350" s="306"/>
      <c r="Q350" s="306"/>
      <c r="R350" s="226">
        <v>0.1</v>
      </c>
      <c r="S350" s="224"/>
      <c r="T350" s="341"/>
      <c r="U350" s="306"/>
      <c r="V350" s="8"/>
      <c r="W350" s="8"/>
      <c r="X350" s="8"/>
      <c r="Y350" s="8"/>
    </row>
    <row r="351" spans="1:25" ht="42" outlineLevel="2">
      <c r="A351" s="221"/>
      <c r="B351" s="221">
        <v>3</v>
      </c>
      <c r="C351" s="222" t="s">
        <v>266</v>
      </c>
      <c r="D351" s="376" t="s">
        <v>2102</v>
      </c>
      <c r="E351" s="287"/>
      <c r="F351" s="378" t="s">
        <v>265</v>
      </c>
      <c r="G351" s="225">
        <v>0</v>
      </c>
      <c r="H351" s="225">
        <f t="shared" si="227"/>
        <v>0</v>
      </c>
      <c r="I351" s="225">
        <f t="shared" si="228"/>
        <v>0</v>
      </c>
      <c r="J351" s="197"/>
      <c r="K351" s="224"/>
      <c r="L351" s="224">
        <f t="shared" si="229"/>
        <v>0</v>
      </c>
      <c r="M351" s="224"/>
      <c r="N351" s="306"/>
      <c r="O351" s="306"/>
      <c r="P351" s="306"/>
      <c r="Q351" s="306"/>
      <c r="R351" s="226">
        <v>0.1</v>
      </c>
      <c r="S351" s="224"/>
      <c r="T351" s="341"/>
      <c r="U351" s="306"/>
      <c r="V351" s="8"/>
      <c r="W351" s="8"/>
      <c r="X351" s="8"/>
      <c r="Y351" s="8"/>
    </row>
    <row r="352" spans="1:25" ht="42" outlineLevel="2">
      <c r="A352" s="221"/>
      <c r="B352" s="221">
        <v>3</v>
      </c>
      <c r="C352" s="222" t="s">
        <v>269</v>
      </c>
      <c r="D352" s="379" t="s">
        <v>974</v>
      </c>
      <c r="E352" s="287"/>
      <c r="F352" s="378" t="s">
        <v>265</v>
      </c>
      <c r="G352" s="225">
        <v>0</v>
      </c>
      <c r="H352" s="225">
        <f t="shared" si="227"/>
        <v>0</v>
      </c>
      <c r="I352" s="225">
        <f t="shared" si="228"/>
        <v>0</v>
      </c>
      <c r="J352" s="197"/>
      <c r="K352" s="224"/>
      <c r="L352" s="224">
        <f t="shared" si="229"/>
        <v>0</v>
      </c>
      <c r="M352" s="224"/>
      <c r="N352" s="306"/>
      <c r="O352" s="306"/>
      <c r="P352" s="306"/>
      <c r="Q352" s="306"/>
      <c r="R352" s="226">
        <v>0.1</v>
      </c>
      <c r="S352" s="224"/>
      <c r="T352" s="341"/>
      <c r="U352" s="306"/>
      <c r="V352" s="8"/>
      <c r="W352" s="8"/>
      <c r="X352" s="8"/>
      <c r="Y352" s="8"/>
    </row>
    <row r="353" spans="1:25" ht="31.5" outlineLevel="2">
      <c r="A353" s="221"/>
      <c r="B353" s="221">
        <v>4</v>
      </c>
      <c r="C353" s="376">
        <v>2.1</v>
      </c>
      <c r="D353" s="379" t="s">
        <v>975</v>
      </c>
      <c r="E353" s="287" t="s">
        <v>976</v>
      </c>
      <c r="F353" s="378" t="s">
        <v>265</v>
      </c>
      <c r="G353" s="225">
        <v>0</v>
      </c>
      <c r="H353" s="225">
        <f t="shared" si="227"/>
        <v>0</v>
      </c>
      <c r="I353" s="225">
        <f t="shared" si="228"/>
        <v>0</v>
      </c>
      <c r="J353" s="197"/>
      <c r="K353" s="224">
        <f t="shared" ref="K353:K356" si="230">L353+M353</f>
        <v>56.185139999999997</v>
      </c>
      <c r="L353" s="224">
        <f t="shared" si="229"/>
        <v>4.6391399999999994</v>
      </c>
      <c r="M353" s="224">
        <f t="shared" ref="M353:M356" si="231">N353+O353+P353+Q353+S353</f>
        <v>51.545999999999999</v>
      </c>
      <c r="N353" s="306">
        <v>17</v>
      </c>
      <c r="O353" s="306">
        <v>28.36</v>
      </c>
      <c r="P353" s="306">
        <v>1</v>
      </c>
      <c r="Q353" s="306">
        <v>0.5</v>
      </c>
      <c r="R353" s="226">
        <v>0.1</v>
      </c>
      <c r="S353" s="224">
        <f t="shared" ref="S353:S356" si="232">SUM(N353:Q353)*R353</f>
        <v>4.6859999999999999</v>
      </c>
      <c r="T353" s="341"/>
      <c r="U353" s="306"/>
      <c r="V353" s="8"/>
      <c r="W353" s="8"/>
      <c r="X353" s="8"/>
      <c r="Y353" s="8"/>
    </row>
    <row r="354" spans="1:25" ht="31.5" outlineLevel="2">
      <c r="A354" s="221"/>
      <c r="B354" s="221">
        <v>4</v>
      </c>
      <c r="C354" s="376">
        <v>2.1</v>
      </c>
      <c r="D354" s="379" t="s">
        <v>977</v>
      </c>
      <c r="E354" s="287" t="s">
        <v>976</v>
      </c>
      <c r="F354" s="378" t="s">
        <v>265</v>
      </c>
      <c r="G354" s="225">
        <v>0</v>
      </c>
      <c r="H354" s="225">
        <f t="shared" si="227"/>
        <v>0</v>
      </c>
      <c r="I354" s="225">
        <f t="shared" si="228"/>
        <v>0</v>
      </c>
      <c r="J354" s="197"/>
      <c r="K354" s="224">
        <f t="shared" si="230"/>
        <v>59.206620000000001</v>
      </c>
      <c r="L354" s="224">
        <f t="shared" si="229"/>
        <v>4.8886199999999995</v>
      </c>
      <c r="M354" s="224">
        <f t="shared" si="231"/>
        <v>54.317999999999998</v>
      </c>
      <c r="N354" s="306">
        <v>17</v>
      </c>
      <c r="O354" s="306">
        <v>30.88</v>
      </c>
      <c r="P354" s="306">
        <v>1</v>
      </c>
      <c r="Q354" s="306">
        <v>0.5</v>
      </c>
      <c r="R354" s="226">
        <v>0.1</v>
      </c>
      <c r="S354" s="224">
        <f t="shared" si="232"/>
        <v>4.9379999999999997</v>
      </c>
      <c r="T354" s="341"/>
      <c r="U354" s="306"/>
      <c r="V354" s="8"/>
      <c r="W354" s="8"/>
      <c r="X354" s="8"/>
      <c r="Y354" s="8"/>
    </row>
    <row r="355" spans="1:25" ht="31.5" outlineLevel="2">
      <c r="A355" s="221"/>
      <c r="B355" s="221">
        <v>4</v>
      </c>
      <c r="C355" s="376">
        <v>2.1</v>
      </c>
      <c r="D355" s="379" t="s">
        <v>978</v>
      </c>
      <c r="E355" s="287" t="s">
        <v>976</v>
      </c>
      <c r="F355" s="378" t="s">
        <v>265</v>
      </c>
      <c r="G355" s="225">
        <v>0</v>
      </c>
      <c r="H355" s="225">
        <f t="shared" si="227"/>
        <v>0</v>
      </c>
      <c r="I355" s="225">
        <f t="shared" si="228"/>
        <v>0</v>
      </c>
      <c r="J355" s="197"/>
      <c r="K355" s="224">
        <f t="shared" si="230"/>
        <v>66.35266</v>
      </c>
      <c r="L355" s="224">
        <f t="shared" si="229"/>
        <v>5.4786599999999996</v>
      </c>
      <c r="M355" s="224">
        <f t="shared" si="231"/>
        <v>60.874000000000002</v>
      </c>
      <c r="N355" s="306">
        <v>17</v>
      </c>
      <c r="O355" s="306">
        <v>36.840000000000003</v>
      </c>
      <c r="P355" s="306">
        <v>1</v>
      </c>
      <c r="Q355" s="306">
        <v>0.5</v>
      </c>
      <c r="R355" s="226">
        <v>0.1</v>
      </c>
      <c r="S355" s="224">
        <f t="shared" si="232"/>
        <v>5.5340000000000007</v>
      </c>
      <c r="T355" s="341"/>
      <c r="U355" s="306"/>
      <c r="V355" s="8"/>
      <c r="W355" s="8"/>
      <c r="X355" s="8"/>
      <c r="Y355" s="8"/>
    </row>
    <row r="356" spans="1:25" ht="31.5" outlineLevel="2">
      <c r="A356" s="221"/>
      <c r="B356" s="221">
        <v>5</v>
      </c>
      <c r="C356" s="376">
        <v>2.1</v>
      </c>
      <c r="D356" s="379" t="s">
        <v>979</v>
      </c>
      <c r="E356" s="287" t="s">
        <v>976</v>
      </c>
      <c r="F356" s="378" t="s">
        <v>265</v>
      </c>
      <c r="G356" s="225">
        <v>0</v>
      </c>
      <c r="H356" s="225">
        <f t="shared" si="227"/>
        <v>0</v>
      </c>
      <c r="I356" s="225">
        <f t="shared" si="228"/>
        <v>0</v>
      </c>
      <c r="J356" s="197"/>
      <c r="K356" s="224">
        <f t="shared" si="230"/>
        <v>66.35266</v>
      </c>
      <c r="L356" s="224">
        <f t="shared" si="229"/>
        <v>5.4786599999999996</v>
      </c>
      <c r="M356" s="224">
        <f t="shared" si="231"/>
        <v>60.874000000000002</v>
      </c>
      <c r="N356" s="306">
        <v>17</v>
      </c>
      <c r="O356" s="306">
        <v>36.840000000000003</v>
      </c>
      <c r="P356" s="306">
        <v>1</v>
      </c>
      <c r="Q356" s="306">
        <v>0.5</v>
      </c>
      <c r="R356" s="226">
        <v>0.1</v>
      </c>
      <c r="S356" s="224">
        <f t="shared" si="232"/>
        <v>5.5340000000000007</v>
      </c>
      <c r="T356" s="341"/>
      <c r="U356" s="306"/>
      <c r="V356" s="8"/>
      <c r="W356" s="8"/>
      <c r="X356" s="8"/>
      <c r="Y356" s="8"/>
    </row>
    <row r="357" spans="1:25" ht="73.5" outlineLevel="1">
      <c r="A357" s="221">
        <v>4</v>
      </c>
      <c r="B357" s="221">
        <v>2</v>
      </c>
      <c r="C357" s="376" t="s">
        <v>980</v>
      </c>
      <c r="D357" s="222" t="s">
        <v>263</v>
      </c>
      <c r="E357" s="377" t="s">
        <v>482</v>
      </c>
      <c r="F357" s="378" t="s">
        <v>265</v>
      </c>
      <c r="G357" s="225">
        <v>0</v>
      </c>
      <c r="H357" s="225">
        <f t="shared" si="227"/>
        <v>0</v>
      </c>
      <c r="I357" s="225">
        <f t="shared" si="228"/>
        <v>0</v>
      </c>
      <c r="J357" s="197"/>
      <c r="K357" s="224"/>
      <c r="L357" s="224">
        <f t="shared" si="229"/>
        <v>0</v>
      </c>
      <c r="M357" s="224"/>
      <c r="N357" s="306"/>
      <c r="O357" s="306"/>
      <c r="P357" s="306"/>
      <c r="Q357" s="306"/>
      <c r="R357" s="226">
        <v>0.1</v>
      </c>
      <c r="S357" s="224"/>
      <c r="T357" s="341"/>
      <c r="U357" s="306"/>
      <c r="V357" s="8"/>
      <c r="W357" s="8"/>
      <c r="X357" s="8"/>
      <c r="Y357" s="8"/>
    </row>
    <row r="358" spans="1:25" ht="87" customHeight="1" outlineLevel="2">
      <c r="A358" s="221"/>
      <c r="B358" s="221">
        <v>3</v>
      </c>
      <c r="C358" s="222" t="s">
        <v>266</v>
      </c>
      <c r="D358" s="379" t="s">
        <v>2103</v>
      </c>
      <c r="E358" s="287"/>
      <c r="F358" s="378" t="s">
        <v>265</v>
      </c>
      <c r="G358" s="225">
        <v>0</v>
      </c>
      <c r="H358" s="225">
        <f t="shared" si="227"/>
        <v>0</v>
      </c>
      <c r="I358" s="225">
        <f t="shared" si="228"/>
        <v>0</v>
      </c>
      <c r="J358" s="197"/>
      <c r="K358" s="224"/>
      <c r="L358" s="224">
        <f t="shared" si="229"/>
        <v>0</v>
      </c>
      <c r="M358" s="224"/>
      <c r="N358" s="306"/>
      <c r="O358" s="306"/>
      <c r="P358" s="306"/>
      <c r="Q358" s="306"/>
      <c r="R358" s="226">
        <v>0.1</v>
      </c>
      <c r="S358" s="224"/>
      <c r="T358" s="341"/>
      <c r="U358" s="306"/>
      <c r="V358" s="8"/>
      <c r="W358" s="8"/>
      <c r="X358" s="8"/>
      <c r="Y358" s="8"/>
    </row>
    <row r="359" spans="1:25" ht="68.45" customHeight="1" outlineLevel="2">
      <c r="A359" s="221"/>
      <c r="B359" s="221">
        <v>3</v>
      </c>
      <c r="C359" s="222" t="s">
        <v>269</v>
      </c>
      <c r="D359" s="379" t="s">
        <v>981</v>
      </c>
      <c r="E359" s="287"/>
      <c r="F359" s="378" t="s">
        <v>265</v>
      </c>
      <c r="G359" s="225">
        <v>0</v>
      </c>
      <c r="H359" s="225">
        <f t="shared" si="227"/>
        <v>0</v>
      </c>
      <c r="I359" s="225">
        <f t="shared" si="228"/>
        <v>0</v>
      </c>
      <c r="J359" s="197"/>
      <c r="K359" s="224"/>
      <c r="L359" s="224">
        <f t="shared" si="229"/>
        <v>0</v>
      </c>
      <c r="M359" s="224"/>
      <c r="N359" s="306"/>
      <c r="O359" s="306"/>
      <c r="P359" s="306"/>
      <c r="Q359" s="306"/>
      <c r="R359" s="226">
        <v>0.1</v>
      </c>
      <c r="S359" s="224"/>
      <c r="T359" s="341"/>
      <c r="U359" s="306"/>
      <c r="V359" s="8"/>
      <c r="W359" s="8"/>
      <c r="X359" s="8"/>
      <c r="Y359" s="8"/>
    </row>
    <row r="360" spans="1:25" ht="55.15" customHeight="1" outlineLevel="2">
      <c r="A360" s="221"/>
      <c r="B360" s="221">
        <v>4</v>
      </c>
      <c r="C360" s="376">
        <v>2.1</v>
      </c>
      <c r="D360" s="379" t="s">
        <v>975</v>
      </c>
      <c r="E360" s="287" t="s">
        <v>976</v>
      </c>
      <c r="F360" s="378" t="s">
        <v>265</v>
      </c>
      <c r="G360" s="225">
        <v>0</v>
      </c>
      <c r="H360" s="225">
        <f t="shared" si="227"/>
        <v>0</v>
      </c>
      <c r="I360" s="225">
        <f t="shared" si="228"/>
        <v>0</v>
      </c>
      <c r="J360" s="197"/>
      <c r="K360" s="224">
        <f t="shared" ref="K360:K363" si="233">L360+M360</f>
        <v>70.261400000000009</v>
      </c>
      <c r="L360" s="224">
        <f t="shared" si="229"/>
        <v>5.8014000000000001</v>
      </c>
      <c r="M360" s="224">
        <f t="shared" ref="M360:M363" si="234">N360+O360+P360+Q360+S360</f>
        <v>64.460000000000008</v>
      </c>
      <c r="N360" s="306">
        <v>20</v>
      </c>
      <c r="O360" s="306">
        <v>37.1</v>
      </c>
      <c r="P360" s="306">
        <v>1</v>
      </c>
      <c r="Q360" s="306">
        <v>0.5</v>
      </c>
      <c r="R360" s="226">
        <v>0.1</v>
      </c>
      <c r="S360" s="224">
        <f t="shared" ref="S360:S363" si="235">SUM(N360:Q360)*R360</f>
        <v>5.86</v>
      </c>
      <c r="T360" s="341"/>
      <c r="U360" s="306"/>
      <c r="V360" s="8"/>
      <c r="W360" s="8"/>
      <c r="X360" s="8"/>
      <c r="Y360" s="8"/>
    </row>
    <row r="361" spans="1:25" ht="51.6" customHeight="1" outlineLevel="2">
      <c r="A361" s="221"/>
      <c r="B361" s="221">
        <v>4</v>
      </c>
      <c r="C361" s="376">
        <v>2.1</v>
      </c>
      <c r="D361" s="379" t="s">
        <v>977</v>
      </c>
      <c r="E361" s="287" t="s">
        <v>976</v>
      </c>
      <c r="F361" s="378" t="s">
        <v>265</v>
      </c>
      <c r="G361" s="225">
        <v>0</v>
      </c>
      <c r="H361" s="225">
        <f t="shared" si="227"/>
        <v>0</v>
      </c>
      <c r="I361" s="225">
        <f t="shared" si="228"/>
        <v>0</v>
      </c>
      <c r="J361" s="197"/>
      <c r="K361" s="224">
        <f t="shared" si="233"/>
        <v>73.282880000000006</v>
      </c>
      <c r="L361" s="224">
        <f t="shared" si="229"/>
        <v>6.0508799999999994</v>
      </c>
      <c r="M361" s="224">
        <f t="shared" si="234"/>
        <v>67.231999999999999</v>
      </c>
      <c r="N361" s="306">
        <v>20</v>
      </c>
      <c r="O361" s="306">
        <v>39.619999999999997</v>
      </c>
      <c r="P361" s="306">
        <v>1</v>
      </c>
      <c r="Q361" s="306">
        <v>0.5</v>
      </c>
      <c r="R361" s="226">
        <v>0.1</v>
      </c>
      <c r="S361" s="224">
        <f t="shared" si="235"/>
        <v>6.1120000000000001</v>
      </c>
      <c r="T361" s="341"/>
      <c r="U361" s="306"/>
      <c r="V361" s="8"/>
      <c r="W361" s="8"/>
      <c r="X361" s="8"/>
      <c r="Y361" s="8"/>
    </row>
    <row r="362" spans="1:25" ht="49.9" customHeight="1" outlineLevel="2">
      <c r="A362" s="221"/>
      <c r="B362" s="221">
        <v>4</v>
      </c>
      <c r="C362" s="376">
        <v>2.1</v>
      </c>
      <c r="D362" s="379" t="s">
        <v>978</v>
      </c>
      <c r="E362" s="287" t="s">
        <v>976</v>
      </c>
      <c r="F362" s="378" t="s">
        <v>265</v>
      </c>
      <c r="G362" s="225">
        <v>0</v>
      </c>
      <c r="H362" s="225">
        <f t="shared" si="227"/>
        <v>0</v>
      </c>
      <c r="I362" s="225">
        <f t="shared" si="228"/>
        <v>0</v>
      </c>
      <c r="J362" s="197"/>
      <c r="K362" s="224">
        <f t="shared" si="233"/>
        <v>78.15082000000001</v>
      </c>
      <c r="L362" s="224">
        <f t="shared" si="229"/>
        <v>6.45282</v>
      </c>
      <c r="M362" s="224">
        <f t="shared" si="234"/>
        <v>71.698000000000008</v>
      </c>
      <c r="N362" s="306">
        <v>20</v>
      </c>
      <c r="O362" s="306">
        <v>43.68</v>
      </c>
      <c r="P362" s="306">
        <v>1</v>
      </c>
      <c r="Q362" s="306">
        <v>0.5</v>
      </c>
      <c r="R362" s="226">
        <v>0.1</v>
      </c>
      <c r="S362" s="224">
        <f t="shared" si="235"/>
        <v>6.5180000000000007</v>
      </c>
      <c r="T362" s="341"/>
      <c r="U362" s="306"/>
      <c r="V362" s="8"/>
      <c r="W362" s="8"/>
      <c r="X362" s="8"/>
      <c r="Y362" s="8"/>
    </row>
    <row r="363" spans="1:25" ht="51" customHeight="1" outlineLevel="2">
      <c r="A363" s="221"/>
      <c r="B363" s="221">
        <v>5</v>
      </c>
      <c r="C363" s="376">
        <v>2.1</v>
      </c>
      <c r="D363" s="379" t="s">
        <v>979</v>
      </c>
      <c r="E363" s="287" t="s">
        <v>976</v>
      </c>
      <c r="F363" s="378" t="s">
        <v>265</v>
      </c>
      <c r="G363" s="225">
        <v>0</v>
      </c>
      <c r="H363" s="225">
        <f t="shared" si="227"/>
        <v>0</v>
      </c>
      <c r="I363" s="225">
        <f t="shared" si="228"/>
        <v>0</v>
      </c>
      <c r="J363" s="197"/>
      <c r="K363" s="224">
        <f t="shared" si="233"/>
        <v>78.15082000000001</v>
      </c>
      <c r="L363" s="224">
        <f t="shared" si="229"/>
        <v>6.45282</v>
      </c>
      <c r="M363" s="224">
        <f t="shared" si="234"/>
        <v>71.698000000000008</v>
      </c>
      <c r="N363" s="306">
        <v>20</v>
      </c>
      <c r="O363" s="306">
        <v>43.68</v>
      </c>
      <c r="P363" s="306">
        <v>1</v>
      </c>
      <c r="Q363" s="306">
        <v>0.5</v>
      </c>
      <c r="R363" s="226">
        <v>0.1</v>
      </c>
      <c r="S363" s="224">
        <f t="shared" si="235"/>
        <v>6.5180000000000007</v>
      </c>
      <c r="T363" s="341"/>
      <c r="U363" s="306"/>
      <c r="V363" s="8"/>
      <c r="W363" s="8"/>
      <c r="X363" s="8"/>
      <c r="Y363" s="8"/>
    </row>
    <row r="364" spans="1:25" ht="169.9" customHeight="1" outlineLevel="1">
      <c r="A364" s="221">
        <v>5</v>
      </c>
      <c r="B364" s="221">
        <v>2</v>
      </c>
      <c r="C364" s="380" t="s">
        <v>982</v>
      </c>
      <c r="D364" s="373" t="s">
        <v>983</v>
      </c>
      <c r="E364" s="381" t="s">
        <v>482</v>
      </c>
      <c r="F364" s="378" t="s">
        <v>265</v>
      </c>
      <c r="G364" s="225">
        <v>106290.17164786599</v>
      </c>
      <c r="H364" s="225">
        <f t="shared" si="227"/>
        <v>8352543.161911563</v>
      </c>
      <c r="I364" s="225">
        <f t="shared" si="228"/>
        <v>8352543.161911563</v>
      </c>
      <c r="J364" s="197"/>
      <c r="K364" s="224">
        <f t="shared" ref="K364:K371" si="236">L364+M364</f>
        <v>78.582459999999998</v>
      </c>
      <c r="L364" s="224">
        <f t="shared" si="229"/>
        <v>6.488459999999999</v>
      </c>
      <c r="M364" s="224">
        <f t="shared" ref="M364:M371" si="237">N364+O364+P364+Q364+S364</f>
        <v>72.093999999999994</v>
      </c>
      <c r="N364" s="306">
        <v>27</v>
      </c>
      <c r="O364" s="306">
        <v>37.04</v>
      </c>
      <c r="P364" s="306">
        <v>1</v>
      </c>
      <c r="Q364" s="306">
        <v>0.5</v>
      </c>
      <c r="R364" s="226">
        <v>0.1</v>
      </c>
      <c r="S364" s="224">
        <f t="shared" ref="S364:S371" si="238">SUM(N364:Q364)*R364</f>
        <v>6.5539999999999994</v>
      </c>
      <c r="T364" s="222"/>
      <c r="U364" s="220"/>
      <c r="V364" s="8"/>
      <c r="W364" s="8"/>
      <c r="X364" s="8"/>
      <c r="Y364" s="8"/>
    </row>
    <row r="365" spans="1:25" ht="105" outlineLevel="1">
      <c r="A365" s="221">
        <v>5</v>
      </c>
      <c r="B365" s="221">
        <v>2</v>
      </c>
      <c r="C365" s="380" t="s">
        <v>984</v>
      </c>
      <c r="D365" s="373" t="s">
        <v>983</v>
      </c>
      <c r="E365" s="381" t="s">
        <v>482</v>
      </c>
      <c r="F365" s="378" t="s">
        <v>265</v>
      </c>
      <c r="G365" s="225">
        <v>10000</v>
      </c>
      <c r="H365" s="225">
        <f t="shared" si="227"/>
        <v>785824.6</v>
      </c>
      <c r="I365" s="225">
        <f t="shared" si="228"/>
        <v>785824.6</v>
      </c>
      <c r="J365" s="197"/>
      <c r="K365" s="224">
        <f t="shared" si="236"/>
        <v>78.582459999999998</v>
      </c>
      <c r="L365" s="224">
        <f t="shared" si="229"/>
        <v>6.488459999999999</v>
      </c>
      <c r="M365" s="224">
        <f t="shared" si="237"/>
        <v>72.093999999999994</v>
      </c>
      <c r="N365" s="306">
        <v>27</v>
      </c>
      <c r="O365" s="306">
        <v>37.04</v>
      </c>
      <c r="P365" s="306">
        <v>1</v>
      </c>
      <c r="Q365" s="306">
        <v>0.5</v>
      </c>
      <c r="R365" s="226">
        <v>0.1</v>
      </c>
      <c r="S365" s="224">
        <f t="shared" si="238"/>
        <v>6.5539999999999994</v>
      </c>
      <c r="T365" s="222"/>
      <c r="U365" s="220"/>
      <c r="V365" s="8"/>
      <c r="W365" s="8"/>
      <c r="X365" s="8"/>
      <c r="Y365" s="8"/>
    </row>
    <row r="366" spans="1:25" ht="105" outlineLevel="1">
      <c r="A366" s="221">
        <v>6</v>
      </c>
      <c r="B366" s="221">
        <v>2</v>
      </c>
      <c r="C366" s="380" t="s">
        <v>985</v>
      </c>
      <c r="D366" s="373" t="s">
        <v>983</v>
      </c>
      <c r="E366" s="381" t="s">
        <v>482</v>
      </c>
      <c r="F366" s="378" t="s">
        <v>265</v>
      </c>
      <c r="G366" s="225">
        <v>0</v>
      </c>
      <c r="H366" s="225">
        <f t="shared" si="227"/>
        <v>0</v>
      </c>
      <c r="I366" s="225">
        <f t="shared" si="228"/>
        <v>0</v>
      </c>
      <c r="J366" s="197"/>
      <c r="K366" s="224">
        <f t="shared" si="236"/>
        <v>84.817260000000005</v>
      </c>
      <c r="L366" s="224">
        <f t="shared" si="229"/>
        <v>7.00326</v>
      </c>
      <c r="M366" s="224">
        <f t="shared" si="237"/>
        <v>77.814000000000007</v>
      </c>
      <c r="N366" s="306">
        <v>27</v>
      </c>
      <c r="O366" s="306">
        <v>42.24</v>
      </c>
      <c r="P366" s="306">
        <v>1</v>
      </c>
      <c r="Q366" s="306">
        <v>0.5</v>
      </c>
      <c r="R366" s="226">
        <v>0.1</v>
      </c>
      <c r="S366" s="224">
        <f t="shared" si="238"/>
        <v>7.0740000000000016</v>
      </c>
      <c r="T366" s="222"/>
      <c r="U366" s="220"/>
      <c r="V366" s="8"/>
      <c r="W366" s="8"/>
      <c r="X366" s="8"/>
      <c r="Y366" s="8"/>
    </row>
    <row r="367" spans="1:25" ht="165.6" customHeight="1" outlineLevel="1">
      <c r="A367" s="221">
        <v>6</v>
      </c>
      <c r="B367" s="221">
        <v>2</v>
      </c>
      <c r="C367" s="380" t="s">
        <v>986</v>
      </c>
      <c r="D367" s="373" t="s">
        <v>983</v>
      </c>
      <c r="E367" s="381" t="s">
        <v>482</v>
      </c>
      <c r="F367" s="378" t="s">
        <v>265</v>
      </c>
      <c r="G367" s="225">
        <v>5000</v>
      </c>
      <c r="H367" s="225">
        <f t="shared" si="227"/>
        <v>424086.30000000005</v>
      </c>
      <c r="I367" s="225">
        <f t="shared" si="228"/>
        <v>424086.30000000005</v>
      </c>
      <c r="J367" s="197"/>
      <c r="K367" s="224">
        <f t="shared" si="236"/>
        <v>84.817260000000005</v>
      </c>
      <c r="L367" s="224">
        <f t="shared" si="229"/>
        <v>7.00326</v>
      </c>
      <c r="M367" s="224">
        <f t="shared" si="237"/>
        <v>77.814000000000007</v>
      </c>
      <c r="N367" s="306">
        <v>27</v>
      </c>
      <c r="O367" s="306">
        <v>42.24</v>
      </c>
      <c r="P367" s="306">
        <v>1</v>
      </c>
      <c r="Q367" s="306">
        <v>0.5</v>
      </c>
      <c r="R367" s="226">
        <v>0.1</v>
      </c>
      <c r="S367" s="224">
        <f t="shared" si="238"/>
        <v>7.0740000000000016</v>
      </c>
      <c r="T367" s="222"/>
      <c r="U367" s="220"/>
      <c r="V367" s="8"/>
      <c r="W367" s="8"/>
      <c r="X367" s="8"/>
      <c r="Y367" s="8"/>
    </row>
    <row r="368" spans="1:25" ht="165" customHeight="1" outlineLevel="1">
      <c r="A368" s="221">
        <v>7</v>
      </c>
      <c r="B368" s="221">
        <v>2</v>
      </c>
      <c r="C368" s="376" t="s">
        <v>987</v>
      </c>
      <c r="D368" s="222" t="s">
        <v>983</v>
      </c>
      <c r="E368" s="222" t="s">
        <v>482</v>
      </c>
      <c r="F368" s="378" t="s">
        <v>265</v>
      </c>
      <c r="G368" s="225">
        <v>0</v>
      </c>
      <c r="H368" s="225">
        <f t="shared" si="227"/>
        <v>0</v>
      </c>
      <c r="I368" s="225">
        <f t="shared" si="228"/>
        <v>0</v>
      </c>
      <c r="J368" s="197"/>
      <c r="K368" s="224">
        <f t="shared" si="236"/>
        <v>81.172299999999993</v>
      </c>
      <c r="L368" s="224">
        <f t="shared" si="229"/>
        <v>6.7022999999999993</v>
      </c>
      <c r="M368" s="224">
        <f t="shared" si="237"/>
        <v>74.47</v>
      </c>
      <c r="N368" s="306">
        <v>26</v>
      </c>
      <c r="O368" s="306">
        <v>40.200000000000003</v>
      </c>
      <c r="P368" s="306">
        <v>1</v>
      </c>
      <c r="Q368" s="306">
        <v>0.5</v>
      </c>
      <c r="R368" s="226">
        <v>0.1</v>
      </c>
      <c r="S368" s="224">
        <f t="shared" si="238"/>
        <v>6.7700000000000005</v>
      </c>
      <c r="T368" s="222"/>
      <c r="U368" s="220"/>
      <c r="V368" s="8"/>
      <c r="W368" s="8"/>
      <c r="X368" s="8"/>
      <c r="Y368" s="8"/>
    </row>
    <row r="369" spans="1:25" ht="147.6" customHeight="1" outlineLevel="1">
      <c r="A369" s="221">
        <v>8</v>
      </c>
      <c r="B369" s="221">
        <v>2</v>
      </c>
      <c r="C369" s="376" t="s">
        <v>988</v>
      </c>
      <c r="D369" s="222" t="s">
        <v>983</v>
      </c>
      <c r="E369" s="222" t="s">
        <v>482</v>
      </c>
      <c r="F369" s="378" t="s">
        <v>265</v>
      </c>
      <c r="G369" s="225">
        <v>0</v>
      </c>
      <c r="H369" s="225">
        <f t="shared" si="227"/>
        <v>0</v>
      </c>
      <c r="I369" s="225">
        <f t="shared" si="228"/>
        <v>0</v>
      </c>
      <c r="J369" s="197"/>
      <c r="K369" s="224">
        <f t="shared" si="236"/>
        <v>88.965800000000002</v>
      </c>
      <c r="L369" s="224">
        <f t="shared" si="229"/>
        <v>7.3458000000000006</v>
      </c>
      <c r="M369" s="224">
        <f t="shared" si="237"/>
        <v>81.62</v>
      </c>
      <c r="N369" s="306">
        <v>26</v>
      </c>
      <c r="O369" s="306">
        <v>46.7</v>
      </c>
      <c r="P369" s="306">
        <v>1</v>
      </c>
      <c r="Q369" s="306">
        <v>0.5</v>
      </c>
      <c r="R369" s="226">
        <v>0.1</v>
      </c>
      <c r="S369" s="224">
        <f t="shared" si="238"/>
        <v>7.4200000000000008</v>
      </c>
      <c r="T369" s="222"/>
      <c r="U369" s="220"/>
      <c r="V369" s="8"/>
      <c r="W369" s="8"/>
      <c r="X369" s="8"/>
      <c r="Y369" s="8"/>
    </row>
    <row r="370" spans="1:25" ht="175.9" customHeight="1" outlineLevel="1">
      <c r="A370" s="221">
        <v>9</v>
      </c>
      <c r="B370" s="221">
        <v>2</v>
      </c>
      <c r="C370" s="382" t="s">
        <v>2053</v>
      </c>
      <c r="D370" s="373" t="s">
        <v>989</v>
      </c>
      <c r="E370" s="377" t="s">
        <v>482</v>
      </c>
      <c r="F370" s="378" t="s">
        <v>265</v>
      </c>
      <c r="G370" s="225">
        <v>0</v>
      </c>
      <c r="H370" s="225">
        <f t="shared" si="227"/>
        <v>0</v>
      </c>
      <c r="I370" s="225">
        <f t="shared" si="228"/>
        <v>0</v>
      </c>
      <c r="J370" s="197"/>
      <c r="K370" s="224">
        <f t="shared" si="236"/>
        <v>82.731000000000009</v>
      </c>
      <c r="L370" s="224">
        <f t="shared" si="229"/>
        <v>6.8310000000000004</v>
      </c>
      <c r="M370" s="224">
        <f t="shared" si="237"/>
        <v>75.900000000000006</v>
      </c>
      <c r="N370" s="306">
        <v>24</v>
      </c>
      <c r="O370" s="306">
        <v>43.5</v>
      </c>
      <c r="P370" s="306">
        <v>1</v>
      </c>
      <c r="Q370" s="306">
        <v>0.5</v>
      </c>
      <c r="R370" s="226">
        <v>0.1</v>
      </c>
      <c r="S370" s="224">
        <f t="shared" si="238"/>
        <v>6.9</v>
      </c>
      <c r="T370" s="222"/>
      <c r="U370" s="220"/>
      <c r="V370" s="8"/>
      <c r="W370" s="8"/>
      <c r="X370" s="8"/>
      <c r="Y370" s="8"/>
    </row>
    <row r="371" spans="1:25" ht="55.9" customHeight="1" outlineLevel="1">
      <c r="A371" s="221">
        <v>10</v>
      </c>
      <c r="B371" s="221">
        <v>2</v>
      </c>
      <c r="C371" s="382" t="s">
        <v>990</v>
      </c>
      <c r="D371" s="373" t="s">
        <v>991</v>
      </c>
      <c r="E371" s="377" t="s">
        <v>992</v>
      </c>
      <c r="F371" s="378" t="s">
        <v>265</v>
      </c>
      <c r="G371" s="225">
        <v>0</v>
      </c>
      <c r="H371" s="225">
        <f t="shared" si="227"/>
        <v>0</v>
      </c>
      <c r="I371" s="225">
        <f t="shared" si="228"/>
        <v>0</v>
      </c>
      <c r="J371" s="197"/>
      <c r="K371" s="224">
        <f t="shared" si="236"/>
        <v>3.29725</v>
      </c>
      <c r="L371" s="224">
        <f t="shared" si="229"/>
        <v>0.27224999999999999</v>
      </c>
      <c r="M371" s="224">
        <f t="shared" si="237"/>
        <v>3.0249999999999999</v>
      </c>
      <c r="N371" s="306">
        <v>0</v>
      </c>
      <c r="O371" s="306">
        <v>2.75</v>
      </c>
      <c r="P371" s="306">
        <v>0</v>
      </c>
      <c r="Q371" s="306">
        <v>0</v>
      </c>
      <c r="R371" s="226">
        <v>0.1</v>
      </c>
      <c r="S371" s="224">
        <f t="shared" si="238"/>
        <v>0.27500000000000002</v>
      </c>
      <c r="T371" s="222"/>
      <c r="U371" s="220"/>
      <c r="V371" s="8"/>
      <c r="W371" s="8"/>
      <c r="X371" s="8"/>
      <c r="Y371" s="8"/>
    </row>
    <row r="372" spans="1:25" ht="39.6" customHeight="1" outlineLevel="1">
      <c r="A372" s="221">
        <v>11</v>
      </c>
      <c r="B372" s="221">
        <v>2</v>
      </c>
      <c r="C372" s="348" t="s">
        <v>993</v>
      </c>
      <c r="D372" s="383" t="s">
        <v>994</v>
      </c>
      <c r="E372" s="348" t="s">
        <v>995</v>
      </c>
      <c r="F372" s="370" t="s">
        <v>265</v>
      </c>
      <c r="G372" s="225">
        <v>0</v>
      </c>
      <c r="H372" s="225">
        <f t="shared" si="227"/>
        <v>0</v>
      </c>
      <c r="I372" s="225">
        <f t="shared" si="228"/>
        <v>0</v>
      </c>
      <c r="J372" s="197"/>
      <c r="K372" s="224">
        <f t="shared" ref="K372:K374" si="239">L372+M372</f>
        <v>2.5179</v>
      </c>
      <c r="L372" s="224">
        <f t="shared" ref="L372:L406" si="240">M372*0.09</f>
        <v>0.2079</v>
      </c>
      <c r="M372" s="224">
        <f t="shared" ref="M372:M374" si="241">N372+O372+P372+Q372+S372</f>
        <v>2.31</v>
      </c>
      <c r="N372" s="370"/>
      <c r="O372" s="370">
        <v>2.1</v>
      </c>
      <c r="P372" s="370"/>
      <c r="Q372" s="370"/>
      <c r="R372" s="226">
        <v>0.1</v>
      </c>
      <c r="S372" s="224">
        <f t="shared" ref="S372:S374" si="242">SUM(N372:Q372)*R372</f>
        <v>0.21000000000000002</v>
      </c>
      <c r="T372" s="348"/>
      <c r="U372" s="370"/>
      <c r="V372" s="8"/>
      <c r="W372" s="8"/>
      <c r="X372" s="8"/>
      <c r="Y372" s="8"/>
    </row>
    <row r="373" spans="1:25" ht="36.6" customHeight="1" outlineLevel="1">
      <c r="A373" s="221">
        <v>12</v>
      </c>
      <c r="B373" s="221">
        <v>2</v>
      </c>
      <c r="C373" s="348" t="s">
        <v>996</v>
      </c>
      <c r="D373" s="383" t="s">
        <v>997</v>
      </c>
      <c r="E373" s="348" t="s">
        <v>995</v>
      </c>
      <c r="F373" s="370" t="s">
        <v>265</v>
      </c>
      <c r="G373" s="225">
        <v>0</v>
      </c>
      <c r="H373" s="225">
        <f t="shared" si="227"/>
        <v>0</v>
      </c>
      <c r="I373" s="225">
        <f t="shared" si="228"/>
        <v>0</v>
      </c>
      <c r="J373" s="197"/>
      <c r="K373" s="224">
        <f t="shared" si="239"/>
        <v>3.29725</v>
      </c>
      <c r="L373" s="224">
        <f t="shared" si="240"/>
        <v>0.27224999999999999</v>
      </c>
      <c r="M373" s="224">
        <f t="shared" si="241"/>
        <v>3.0249999999999999</v>
      </c>
      <c r="N373" s="370"/>
      <c r="O373" s="370">
        <v>2.75</v>
      </c>
      <c r="P373" s="370"/>
      <c r="Q373" s="370"/>
      <c r="R373" s="226">
        <v>0.1</v>
      </c>
      <c r="S373" s="224">
        <f t="shared" si="242"/>
        <v>0.27500000000000002</v>
      </c>
      <c r="T373" s="348"/>
      <c r="U373" s="370"/>
      <c r="V373" s="8"/>
      <c r="W373" s="8"/>
      <c r="X373" s="8"/>
      <c r="Y373" s="8"/>
    </row>
    <row r="374" spans="1:25" ht="25.15" customHeight="1" outlineLevel="1">
      <c r="A374" s="221">
        <v>13</v>
      </c>
      <c r="B374" s="221">
        <v>2</v>
      </c>
      <c r="C374" s="348" t="s">
        <v>998</v>
      </c>
      <c r="D374" s="383" t="s">
        <v>999</v>
      </c>
      <c r="E374" s="348" t="s">
        <v>995</v>
      </c>
      <c r="F374" s="370" t="s">
        <v>265</v>
      </c>
      <c r="G374" s="225">
        <v>0</v>
      </c>
      <c r="H374" s="225">
        <f t="shared" si="227"/>
        <v>0</v>
      </c>
      <c r="I374" s="225">
        <f t="shared" si="228"/>
        <v>0</v>
      </c>
      <c r="J374" s="197"/>
      <c r="K374" s="224">
        <f t="shared" si="239"/>
        <v>3.1174000000000004</v>
      </c>
      <c r="L374" s="224">
        <f t="shared" si="240"/>
        <v>0.25740000000000002</v>
      </c>
      <c r="M374" s="224">
        <f t="shared" si="241"/>
        <v>2.8600000000000003</v>
      </c>
      <c r="N374" s="306"/>
      <c r="O374" s="306">
        <v>2.6</v>
      </c>
      <c r="P374" s="306"/>
      <c r="Q374" s="306"/>
      <c r="R374" s="226">
        <v>0.1</v>
      </c>
      <c r="S374" s="224">
        <f t="shared" si="242"/>
        <v>0.26</v>
      </c>
      <c r="T374" s="341"/>
      <c r="U374" s="306" t="s">
        <v>1000</v>
      </c>
      <c r="V374" s="8"/>
      <c r="W374" s="8"/>
      <c r="X374" s="8"/>
      <c r="Y374" s="8"/>
    </row>
    <row r="375" spans="1:25" ht="31.9" customHeight="1" outlineLevel="1">
      <c r="A375" s="221">
        <v>14</v>
      </c>
      <c r="B375" s="221">
        <v>2</v>
      </c>
      <c r="C375" s="348" t="s">
        <v>1001</v>
      </c>
      <c r="D375" s="383" t="s">
        <v>1002</v>
      </c>
      <c r="E375" s="348" t="s">
        <v>995</v>
      </c>
      <c r="F375" s="370" t="s">
        <v>265</v>
      </c>
      <c r="G375" s="225">
        <v>0</v>
      </c>
      <c r="H375" s="225">
        <f t="shared" si="227"/>
        <v>0</v>
      </c>
      <c r="I375" s="225">
        <f t="shared" si="228"/>
        <v>0</v>
      </c>
      <c r="J375" s="197"/>
      <c r="K375" s="224">
        <f t="shared" ref="K375:K387" si="243">L375+M375</f>
        <v>3.29725</v>
      </c>
      <c r="L375" s="224">
        <f t="shared" si="240"/>
        <v>0.27224999999999999</v>
      </c>
      <c r="M375" s="224">
        <f t="shared" ref="M375:M387" si="244">N375+O375+P375+Q375+S375</f>
        <v>3.0249999999999999</v>
      </c>
      <c r="N375" s="306">
        <v>0</v>
      </c>
      <c r="O375" s="306">
        <v>2.75</v>
      </c>
      <c r="P375" s="306">
        <v>0</v>
      </c>
      <c r="Q375" s="306">
        <v>0</v>
      </c>
      <c r="R375" s="226">
        <v>0.1</v>
      </c>
      <c r="S375" s="224">
        <f t="shared" ref="S375" si="245">SUM(N375:Q375)*R375</f>
        <v>0.27500000000000002</v>
      </c>
      <c r="T375" s="348"/>
      <c r="U375" s="306"/>
    </row>
    <row r="376" spans="1:25" ht="13.5">
      <c r="A376" s="221"/>
      <c r="B376" s="221"/>
      <c r="C376" s="384" t="s">
        <v>248</v>
      </c>
      <c r="D376" s="383"/>
      <c r="E376" s="348"/>
      <c r="F376" s="370"/>
      <c r="G376" s="225">
        <v>0</v>
      </c>
      <c r="H376" s="385">
        <f>SUM(H348:H375)</f>
        <v>9562454.0619115643</v>
      </c>
      <c r="I376" s="385">
        <f>SUM(I348:I375)</f>
        <v>9562454.0619115643</v>
      </c>
      <c r="J376" s="370"/>
      <c r="K376" s="224">
        <f t="shared" si="243"/>
        <v>0</v>
      </c>
      <c r="L376" s="224">
        <f t="shared" si="240"/>
        <v>0</v>
      </c>
      <c r="M376" s="224">
        <f t="shared" si="244"/>
        <v>0</v>
      </c>
      <c r="N376" s="306"/>
      <c r="O376" s="306"/>
      <c r="P376" s="306"/>
      <c r="Q376" s="306"/>
      <c r="R376" s="226">
        <v>0.1</v>
      </c>
      <c r="S376" s="306"/>
      <c r="T376" s="276"/>
      <c r="U376" s="306"/>
      <c r="V376" s="8"/>
      <c r="W376" s="8"/>
      <c r="X376" s="8"/>
      <c r="Y376" s="8"/>
    </row>
    <row r="377" spans="1:25" ht="21">
      <c r="A377" s="306" t="s">
        <v>579</v>
      </c>
      <c r="B377" s="386">
        <v>1</v>
      </c>
      <c r="C377" s="211" t="s">
        <v>631</v>
      </c>
      <c r="D377" s="222"/>
      <c r="E377" s="211"/>
      <c r="F377" s="221"/>
      <c r="G377" s="225">
        <v>0</v>
      </c>
      <c r="H377" s="221"/>
      <c r="I377" s="221"/>
      <c r="J377" s="221"/>
      <c r="K377" s="224">
        <f t="shared" si="243"/>
        <v>0</v>
      </c>
      <c r="L377" s="224">
        <f t="shared" si="240"/>
        <v>0</v>
      </c>
      <c r="M377" s="224">
        <f t="shared" si="244"/>
        <v>0</v>
      </c>
      <c r="N377" s="305"/>
      <c r="O377" s="305"/>
      <c r="P377" s="305"/>
      <c r="Q377" s="305"/>
      <c r="R377" s="226">
        <v>0.1</v>
      </c>
      <c r="S377" s="306"/>
      <c r="T377" s="306"/>
      <c r="U377" s="306"/>
      <c r="V377" s="8"/>
      <c r="W377" s="8"/>
      <c r="X377" s="8"/>
      <c r="Y377" s="8"/>
    </row>
    <row r="378" spans="1:25" ht="49.9" customHeight="1" outlineLevel="1">
      <c r="A378" s="306">
        <v>1</v>
      </c>
      <c r="B378" s="306">
        <v>2</v>
      </c>
      <c r="C378" s="222" t="s">
        <v>1003</v>
      </c>
      <c r="D378" s="222" t="s">
        <v>1004</v>
      </c>
      <c r="E378" s="222" t="s">
        <v>1005</v>
      </c>
      <c r="F378" s="221" t="s">
        <v>265</v>
      </c>
      <c r="G378" s="225">
        <v>0</v>
      </c>
      <c r="H378" s="225">
        <f t="shared" ref="H378" si="246">G378*K378</f>
        <v>0</v>
      </c>
      <c r="I378" s="225">
        <f t="shared" ref="I378" si="247">G378*K378*(1+J378)</f>
        <v>0</v>
      </c>
      <c r="J378" s="197"/>
      <c r="K378" s="224">
        <f t="shared" si="243"/>
        <v>99.516999999999996</v>
      </c>
      <c r="L378" s="224">
        <f t="shared" si="240"/>
        <v>8.2169999999999987</v>
      </c>
      <c r="M378" s="224">
        <f t="shared" si="244"/>
        <v>91.3</v>
      </c>
      <c r="N378" s="282">
        <v>45</v>
      </c>
      <c r="O378" s="282">
        <v>23</v>
      </c>
      <c r="P378" s="282">
        <v>13</v>
      </c>
      <c r="Q378" s="282">
        <v>2</v>
      </c>
      <c r="R378" s="226">
        <v>0.1</v>
      </c>
      <c r="S378" s="227">
        <f t="shared" ref="S378:S382" si="248">SUM(N378:Q378)*R378</f>
        <v>8.3000000000000007</v>
      </c>
      <c r="T378" s="349"/>
      <c r="U378" s="306"/>
      <c r="V378" s="8"/>
      <c r="W378" s="8"/>
      <c r="X378" s="8"/>
      <c r="Y378" s="8"/>
    </row>
    <row r="379" spans="1:25" ht="56.45" customHeight="1" outlineLevel="1">
      <c r="A379" s="221">
        <v>2</v>
      </c>
      <c r="B379" s="221">
        <v>2</v>
      </c>
      <c r="C379" s="222" t="s">
        <v>1006</v>
      </c>
      <c r="D379" s="222" t="s">
        <v>1007</v>
      </c>
      <c r="E379" s="222" t="s">
        <v>1008</v>
      </c>
      <c r="F379" s="221" t="s">
        <v>265</v>
      </c>
      <c r="G379" s="225">
        <v>0</v>
      </c>
      <c r="H379" s="225">
        <f t="shared" ref="H379:H382" si="249">G379*K379</f>
        <v>0</v>
      </c>
      <c r="I379" s="225">
        <f t="shared" ref="I379:I382" si="250">G379*K379*(1+J379)</f>
        <v>0</v>
      </c>
      <c r="J379" s="197"/>
      <c r="K379" s="224">
        <f t="shared" si="243"/>
        <v>27.577000000000002</v>
      </c>
      <c r="L379" s="224">
        <f t="shared" si="240"/>
        <v>2.2770000000000001</v>
      </c>
      <c r="M379" s="224">
        <f t="shared" si="244"/>
        <v>25.3</v>
      </c>
      <c r="N379" s="387">
        <v>17</v>
      </c>
      <c r="O379" s="224">
        <v>6</v>
      </c>
      <c r="P379" s="224">
        <v>0</v>
      </c>
      <c r="Q379" s="224">
        <v>0</v>
      </c>
      <c r="R379" s="226">
        <v>0.1</v>
      </c>
      <c r="S379" s="227">
        <f t="shared" si="248"/>
        <v>2.3000000000000003</v>
      </c>
      <c r="T379" s="341" t="s">
        <v>591</v>
      </c>
      <c r="U379" s="303" t="s">
        <v>592</v>
      </c>
    </row>
    <row r="380" spans="1:25" ht="51.6" customHeight="1" outlineLevel="1">
      <c r="A380" s="306">
        <v>3</v>
      </c>
      <c r="B380" s="221">
        <v>2</v>
      </c>
      <c r="C380" s="222" t="s">
        <v>1009</v>
      </c>
      <c r="D380" s="222" t="s">
        <v>1010</v>
      </c>
      <c r="E380" s="222" t="s">
        <v>629</v>
      </c>
      <c r="F380" s="221" t="s">
        <v>265</v>
      </c>
      <c r="G380" s="225">
        <v>0</v>
      </c>
      <c r="H380" s="225">
        <f t="shared" si="249"/>
        <v>0</v>
      </c>
      <c r="I380" s="225">
        <f t="shared" si="250"/>
        <v>0</v>
      </c>
      <c r="J380" s="197"/>
      <c r="K380" s="224">
        <f t="shared" si="243"/>
        <v>27.577000000000002</v>
      </c>
      <c r="L380" s="224">
        <f t="shared" si="240"/>
        <v>2.2770000000000001</v>
      </c>
      <c r="M380" s="224">
        <f t="shared" si="244"/>
        <v>25.3</v>
      </c>
      <c r="N380" s="387">
        <v>17</v>
      </c>
      <c r="O380" s="224">
        <v>6</v>
      </c>
      <c r="P380" s="224">
        <v>0</v>
      </c>
      <c r="Q380" s="224">
        <v>0</v>
      </c>
      <c r="R380" s="226">
        <v>0.1</v>
      </c>
      <c r="S380" s="227">
        <f t="shared" si="248"/>
        <v>2.3000000000000003</v>
      </c>
      <c r="T380" s="341" t="s">
        <v>591</v>
      </c>
      <c r="U380" s="303" t="s">
        <v>592</v>
      </c>
    </row>
    <row r="381" spans="1:25" ht="44.45" customHeight="1" outlineLevel="1">
      <c r="A381" s="221">
        <v>4</v>
      </c>
      <c r="B381" s="221">
        <v>2</v>
      </c>
      <c r="C381" s="222" t="s">
        <v>636</v>
      </c>
      <c r="D381" s="222" t="s">
        <v>637</v>
      </c>
      <c r="E381" s="222" t="s">
        <v>638</v>
      </c>
      <c r="F381" s="221" t="s">
        <v>265</v>
      </c>
      <c r="G381" s="225">
        <v>0</v>
      </c>
      <c r="H381" s="225">
        <f t="shared" si="249"/>
        <v>0</v>
      </c>
      <c r="I381" s="225">
        <f t="shared" si="250"/>
        <v>0</v>
      </c>
      <c r="J381" s="197"/>
      <c r="K381" s="224">
        <f t="shared" si="243"/>
        <v>18.428629999999998</v>
      </c>
      <c r="L381" s="224">
        <f t="shared" si="240"/>
        <v>1.52163</v>
      </c>
      <c r="M381" s="224">
        <f t="shared" si="244"/>
        <v>16.907</v>
      </c>
      <c r="N381" s="282">
        <v>12</v>
      </c>
      <c r="O381" s="282">
        <v>3.37</v>
      </c>
      <c r="P381" s="282">
        <v>0</v>
      </c>
      <c r="Q381" s="282">
        <v>0</v>
      </c>
      <c r="R381" s="226">
        <v>0.1</v>
      </c>
      <c r="S381" s="227">
        <f t="shared" si="248"/>
        <v>1.5370000000000001</v>
      </c>
      <c r="T381" s="349"/>
      <c r="U381" s="303"/>
    </row>
    <row r="382" spans="1:25" ht="46.9" customHeight="1" outlineLevel="1">
      <c r="A382" s="306">
        <v>5</v>
      </c>
      <c r="B382" s="221">
        <v>2</v>
      </c>
      <c r="C382" s="222" t="s">
        <v>639</v>
      </c>
      <c r="D382" s="222" t="s">
        <v>640</v>
      </c>
      <c r="E382" s="222" t="s">
        <v>641</v>
      </c>
      <c r="F382" s="221" t="s">
        <v>265</v>
      </c>
      <c r="G382" s="225">
        <v>0</v>
      </c>
      <c r="H382" s="225">
        <f t="shared" si="249"/>
        <v>0</v>
      </c>
      <c r="I382" s="225">
        <f t="shared" si="250"/>
        <v>0</v>
      </c>
      <c r="J382" s="197"/>
      <c r="K382" s="224">
        <f t="shared" si="243"/>
        <v>23.812139999999999</v>
      </c>
      <c r="L382" s="224">
        <f t="shared" si="240"/>
        <v>1.96614</v>
      </c>
      <c r="M382" s="224">
        <f t="shared" si="244"/>
        <v>21.846</v>
      </c>
      <c r="N382" s="282">
        <v>15</v>
      </c>
      <c r="O382" s="282">
        <v>4.8600000000000003</v>
      </c>
      <c r="P382" s="282">
        <v>0</v>
      </c>
      <c r="Q382" s="282">
        <v>0</v>
      </c>
      <c r="R382" s="226">
        <v>0.1</v>
      </c>
      <c r="S382" s="227">
        <f t="shared" si="248"/>
        <v>1.986</v>
      </c>
      <c r="T382" s="349"/>
      <c r="U382" s="303"/>
    </row>
    <row r="383" spans="1:25" ht="13.5">
      <c r="A383" s="277"/>
      <c r="B383" s="277"/>
      <c r="C383" s="384" t="s">
        <v>248</v>
      </c>
      <c r="D383" s="222"/>
      <c r="E383" s="222"/>
      <c r="F383" s="221"/>
      <c r="G383" s="225">
        <v>0</v>
      </c>
      <c r="H383" s="344">
        <f>SUM(H378:H382)</f>
        <v>0</v>
      </c>
      <c r="I383" s="344">
        <f>SUM(I378:I382)</f>
        <v>0</v>
      </c>
      <c r="J383" s="221"/>
      <c r="K383" s="224"/>
      <c r="L383" s="224">
        <f t="shared" si="240"/>
        <v>0</v>
      </c>
      <c r="M383" s="224"/>
      <c r="N383" s="305"/>
      <c r="O383" s="305"/>
      <c r="P383" s="305"/>
      <c r="Q383" s="305"/>
      <c r="R383" s="226">
        <v>0.1</v>
      </c>
      <c r="S383" s="306"/>
      <c r="T383" s="276"/>
      <c r="U383" s="306"/>
      <c r="V383" s="8"/>
      <c r="W383" s="8"/>
      <c r="X383" s="8"/>
      <c r="Y383" s="8"/>
    </row>
    <row r="384" spans="1:25" ht="13.5">
      <c r="A384" s="306" t="s">
        <v>626</v>
      </c>
      <c r="B384" s="386">
        <v>1</v>
      </c>
      <c r="C384" s="211" t="s">
        <v>646</v>
      </c>
      <c r="D384" s="222"/>
      <c r="E384" s="211"/>
      <c r="F384" s="221"/>
      <c r="G384" s="225">
        <v>0</v>
      </c>
      <c r="H384" s="221"/>
      <c r="I384" s="221"/>
      <c r="J384" s="221"/>
      <c r="K384" s="224">
        <f t="shared" ref="K384" si="251">L384+M384</f>
        <v>0</v>
      </c>
      <c r="L384" s="224">
        <f t="shared" si="240"/>
        <v>0</v>
      </c>
      <c r="M384" s="224">
        <f t="shared" ref="M384" si="252">N384+O384+P384+Q384+S384</f>
        <v>0</v>
      </c>
      <c r="N384" s="305"/>
      <c r="O384" s="305"/>
      <c r="P384" s="305"/>
      <c r="Q384" s="305"/>
      <c r="R384" s="226">
        <v>0.1</v>
      </c>
      <c r="S384" s="306"/>
      <c r="T384" s="306"/>
      <c r="U384" s="306"/>
      <c r="V384" s="8"/>
      <c r="W384" s="8"/>
      <c r="X384" s="8"/>
      <c r="Y384" s="8"/>
    </row>
    <row r="385" spans="1:21" ht="45.6" customHeight="1" outlineLevel="1">
      <c r="A385" s="221">
        <v>1</v>
      </c>
      <c r="B385" s="221">
        <v>2</v>
      </c>
      <c r="C385" s="222" t="s">
        <v>647</v>
      </c>
      <c r="D385" s="222" t="s">
        <v>648</v>
      </c>
      <c r="E385" s="222" t="s">
        <v>649</v>
      </c>
      <c r="F385" s="221" t="s">
        <v>312</v>
      </c>
      <c r="G385" s="225">
        <v>0</v>
      </c>
      <c r="H385" s="225">
        <f t="shared" ref="H385" si="253">G385*K385</f>
        <v>0</v>
      </c>
      <c r="I385" s="225">
        <f t="shared" ref="I385" si="254">G385*K385*(1+J385)</f>
        <v>0</v>
      </c>
      <c r="J385" s="197"/>
      <c r="K385" s="224">
        <f t="shared" si="243"/>
        <v>10.261463668159317</v>
      </c>
      <c r="L385" s="224">
        <f t="shared" si="240"/>
        <v>0.84727681663700782</v>
      </c>
      <c r="M385" s="224">
        <f t="shared" si="244"/>
        <v>9.4141868515223095</v>
      </c>
      <c r="N385" s="282">
        <v>2.3879999999999999</v>
      </c>
      <c r="O385" s="282">
        <v>4.7759999999999998</v>
      </c>
      <c r="P385" s="282">
        <v>0.4975</v>
      </c>
      <c r="Q385" s="282">
        <v>0.89685168320209996</v>
      </c>
      <c r="R385" s="226">
        <v>0.1</v>
      </c>
      <c r="S385" s="227">
        <f t="shared" ref="S385:S387" si="255">SUM(N385:Q385)*R385</f>
        <v>0.85583516832021</v>
      </c>
      <c r="T385" s="349"/>
      <c r="U385" s="303"/>
    </row>
    <row r="386" spans="1:21" ht="40.9" customHeight="1" outlineLevel="1">
      <c r="A386" s="221">
        <v>2</v>
      </c>
      <c r="B386" s="303">
        <v>2</v>
      </c>
      <c r="C386" s="222" t="s">
        <v>1011</v>
      </c>
      <c r="D386" s="222" t="s">
        <v>1012</v>
      </c>
      <c r="E386" s="222" t="s">
        <v>1013</v>
      </c>
      <c r="F386" s="221" t="s">
        <v>265</v>
      </c>
      <c r="G386" s="225">
        <v>0</v>
      </c>
      <c r="H386" s="225">
        <f t="shared" ref="H386:H406" si="256">G386*K386</f>
        <v>0</v>
      </c>
      <c r="I386" s="225">
        <f t="shared" ref="I386:I406" si="257">G386*K386*(1+J386)</f>
        <v>0</v>
      </c>
      <c r="J386" s="197"/>
      <c r="K386" s="224">
        <f t="shared" si="243"/>
        <v>133.61655999999999</v>
      </c>
      <c r="L386" s="224">
        <f t="shared" si="240"/>
        <v>11.03256</v>
      </c>
      <c r="M386" s="224">
        <f t="shared" si="244"/>
        <v>122.584</v>
      </c>
      <c r="N386" s="282">
        <v>14.925000000000001</v>
      </c>
      <c r="O386" s="282">
        <v>66.167500000000004</v>
      </c>
      <c r="P386" s="282">
        <v>28.457000000000001</v>
      </c>
      <c r="Q386" s="282">
        <v>1.8905000000000001</v>
      </c>
      <c r="R386" s="226">
        <v>0.1</v>
      </c>
      <c r="S386" s="227">
        <f t="shared" si="255"/>
        <v>11.144</v>
      </c>
      <c r="T386" s="349"/>
      <c r="U386" s="303"/>
    </row>
    <row r="387" spans="1:21" ht="42" outlineLevel="1">
      <c r="A387" s="221">
        <v>3</v>
      </c>
      <c r="B387" s="221">
        <v>2</v>
      </c>
      <c r="C387" s="222" t="s">
        <v>1014</v>
      </c>
      <c r="D387" s="222" t="s">
        <v>1015</v>
      </c>
      <c r="E387" s="222" t="s">
        <v>1016</v>
      </c>
      <c r="F387" s="221" t="s">
        <v>265</v>
      </c>
      <c r="G387" s="225">
        <v>0</v>
      </c>
      <c r="H387" s="225">
        <f t="shared" si="256"/>
        <v>0</v>
      </c>
      <c r="I387" s="225">
        <f t="shared" si="257"/>
        <v>0</v>
      </c>
      <c r="J387" s="197"/>
      <c r="K387" s="224">
        <f t="shared" si="243"/>
        <v>133.61655999999999</v>
      </c>
      <c r="L387" s="224">
        <f t="shared" si="240"/>
        <v>11.03256</v>
      </c>
      <c r="M387" s="224">
        <f t="shared" si="244"/>
        <v>122.584</v>
      </c>
      <c r="N387" s="282">
        <v>14.925000000000001</v>
      </c>
      <c r="O387" s="282">
        <v>66.167500000000004</v>
      </c>
      <c r="P387" s="282">
        <v>28.457000000000001</v>
      </c>
      <c r="Q387" s="282">
        <v>1.8905000000000001</v>
      </c>
      <c r="R387" s="226">
        <v>0.1</v>
      </c>
      <c r="S387" s="227">
        <f t="shared" si="255"/>
        <v>11.144</v>
      </c>
      <c r="T387" s="349"/>
      <c r="U387" s="303"/>
    </row>
    <row r="388" spans="1:21" ht="13.5" outlineLevel="1">
      <c r="A388" s="221">
        <v>4</v>
      </c>
      <c r="B388" s="221">
        <v>2</v>
      </c>
      <c r="C388" s="222" t="s">
        <v>1017</v>
      </c>
      <c r="D388" s="222" t="s">
        <v>1018</v>
      </c>
      <c r="E388" s="222"/>
      <c r="F388" s="221" t="s">
        <v>524</v>
      </c>
      <c r="G388" s="225">
        <v>0</v>
      </c>
      <c r="H388" s="225">
        <f t="shared" si="256"/>
        <v>0</v>
      </c>
      <c r="I388" s="225">
        <f t="shared" si="257"/>
        <v>0</v>
      </c>
      <c r="J388" s="197"/>
      <c r="K388" s="303"/>
      <c r="L388" s="224">
        <f t="shared" si="240"/>
        <v>0</v>
      </c>
      <c r="M388" s="248"/>
      <c r="N388" s="248"/>
      <c r="O388" s="248"/>
      <c r="P388" s="248"/>
      <c r="Q388" s="248"/>
      <c r="R388" s="226">
        <v>0.1</v>
      </c>
      <c r="S388" s="248"/>
      <c r="T388" s="348"/>
      <c r="U388" s="248"/>
    </row>
    <row r="389" spans="1:21" ht="21" outlineLevel="1">
      <c r="A389" s="221">
        <v>5</v>
      </c>
      <c r="B389" s="303">
        <v>2</v>
      </c>
      <c r="C389" s="222" t="s">
        <v>1019</v>
      </c>
      <c r="D389" s="222" t="s">
        <v>1020</v>
      </c>
      <c r="E389" s="222" t="s">
        <v>424</v>
      </c>
      <c r="F389" s="221" t="s">
        <v>312</v>
      </c>
      <c r="G389" s="225">
        <v>0</v>
      </c>
      <c r="H389" s="225">
        <f t="shared" si="256"/>
        <v>0</v>
      </c>
      <c r="I389" s="225">
        <f t="shared" si="257"/>
        <v>0</v>
      </c>
      <c r="J389" s="197"/>
      <c r="K389" s="224">
        <f t="shared" ref="K389:K393" si="258">L389+M389</f>
        <v>10.261463668159317</v>
      </c>
      <c r="L389" s="224">
        <f t="shared" si="240"/>
        <v>0.84727681663700782</v>
      </c>
      <c r="M389" s="224">
        <f t="shared" ref="M389:M393" si="259">N389+O389+P389+Q389+S389</f>
        <v>9.4141868515223095</v>
      </c>
      <c r="N389" s="282">
        <v>2.3879999999999999</v>
      </c>
      <c r="O389" s="282">
        <v>4.7759999999999998</v>
      </c>
      <c r="P389" s="282">
        <v>0.4975</v>
      </c>
      <c r="Q389" s="282">
        <v>0.89685168320209996</v>
      </c>
      <c r="R389" s="226">
        <v>0.1</v>
      </c>
      <c r="S389" s="227">
        <f t="shared" ref="S389:S393" si="260">SUM(N389:Q389)*R389</f>
        <v>0.85583516832021</v>
      </c>
      <c r="T389" s="349"/>
      <c r="U389" s="303"/>
    </row>
    <row r="390" spans="1:21" ht="21" outlineLevel="1">
      <c r="A390" s="221">
        <v>6</v>
      </c>
      <c r="B390" s="221">
        <v>2</v>
      </c>
      <c r="C390" s="222" t="s">
        <v>1021</v>
      </c>
      <c r="D390" s="222" t="s">
        <v>648</v>
      </c>
      <c r="E390" s="222" t="s">
        <v>424</v>
      </c>
      <c r="F390" s="221" t="s">
        <v>312</v>
      </c>
      <c r="G390" s="225">
        <v>0</v>
      </c>
      <c r="H390" s="225">
        <f t="shared" si="256"/>
        <v>0</v>
      </c>
      <c r="I390" s="225">
        <f t="shared" si="257"/>
        <v>0</v>
      </c>
      <c r="J390" s="197"/>
      <c r="K390" s="224">
        <f t="shared" si="258"/>
        <v>10.261463668159317</v>
      </c>
      <c r="L390" s="224">
        <f t="shared" si="240"/>
        <v>0.84727681663700782</v>
      </c>
      <c r="M390" s="224">
        <f t="shared" si="259"/>
        <v>9.4141868515223095</v>
      </c>
      <c r="N390" s="282">
        <v>2.3879999999999999</v>
      </c>
      <c r="O390" s="282">
        <v>4.7759999999999998</v>
      </c>
      <c r="P390" s="282">
        <v>0.4975</v>
      </c>
      <c r="Q390" s="282">
        <v>0.89685168320209996</v>
      </c>
      <c r="R390" s="226">
        <v>0.1</v>
      </c>
      <c r="S390" s="227">
        <f t="shared" si="260"/>
        <v>0.85583516832021</v>
      </c>
      <c r="T390" s="349"/>
      <c r="U390" s="303"/>
    </row>
    <row r="391" spans="1:21" ht="31.5" outlineLevel="1">
      <c r="A391" s="221">
        <v>7</v>
      </c>
      <c r="B391" s="303">
        <v>2</v>
      </c>
      <c r="C391" s="222" t="s">
        <v>658</v>
      </c>
      <c r="D391" s="222" t="s">
        <v>659</v>
      </c>
      <c r="E391" s="222" t="s">
        <v>660</v>
      </c>
      <c r="F391" s="221" t="s">
        <v>524</v>
      </c>
      <c r="G391" s="225">
        <v>0</v>
      </c>
      <c r="H391" s="225">
        <f t="shared" si="256"/>
        <v>0</v>
      </c>
      <c r="I391" s="225">
        <f t="shared" si="257"/>
        <v>0</v>
      </c>
      <c r="J391" s="197"/>
      <c r="K391" s="224">
        <f t="shared" si="258"/>
        <v>12.58519088876162</v>
      </c>
      <c r="L391" s="224">
        <f t="shared" si="240"/>
        <v>1.039144201824354</v>
      </c>
      <c r="M391" s="224">
        <f t="shared" si="259"/>
        <v>11.546046686937267</v>
      </c>
      <c r="N391" s="282">
        <v>4.4775</v>
      </c>
      <c r="O391" s="282">
        <v>3.1939500000000001</v>
      </c>
      <c r="P391" s="282">
        <v>0.995</v>
      </c>
      <c r="Q391" s="282">
        <v>1.82995607903388</v>
      </c>
      <c r="R391" s="226">
        <v>0.1</v>
      </c>
      <c r="S391" s="227">
        <f t="shared" si="260"/>
        <v>1.049640607903388</v>
      </c>
      <c r="T391" s="349"/>
      <c r="U391" s="303"/>
    </row>
    <row r="392" spans="1:21" ht="31.5" outlineLevel="1">
      <c r="A392" s="221">
        <v>8</v>
      </c>
      <c r="B392" s="221">
        <v>2</v>
      </c>
      <c r="C392" s="222" t="s">
        <v>661</v>
      </c>
      <c r="D392" s="222" t="s">
        <v>659</v>
      </c>
      <c r="E392" s="222" t="s">
        <v>660</v>
      </c>
      <c r="F392" s="221" t="s">
        <v>524</v>
      </c>
      <c r="G392" s="225">
        <v>0</v>
      </c>
      <c r="H392" s="225">
        <f t="shared" si="256"/>
        <v>0</v>
      </c>
      <c r="I392" s="225">
        <f t="shared" si="257"/>
        <v>0</v>
      </c>
      <c r="J392" s="197"/>
      <c r="K392" s="224">
        <f t="shared" si="258"/>
        <v>12.58519088876162</v>
      </c>
      <c r="L392" s="224">
        <f t="shared" si="240"/>
        <v>1.039144201824354</v>
      </c>
      <c r="M392" s="224">
        <f t="shared" si="259"/>
        <v>11.546046686937267</v>
      </c>
      <c r="N392" s="282">
        <v>4.4775</v>
      </c>
      <c r="O392" s="282">
        <v>3.1939500000000001</v>
      </c>
      <c r="P392" s="282">
        <v>0.995</v>
      </c>
      <c r="Q392" s="282">
        <v>1.82995607903388</v>
      </c>
      <c r="R392" s="226">
        <v>0.1</v>
      </c>
      <c r="S392" s="227">
        <f t="shared" si="260"/>
        <v>1.049640607903388</v>
      </c>
      <c r="T392" s="349"/>
      <c r="U392" s="303"/>
    </row>
    <row r="393" spans="1:21" ht="31.5" outlineLevel="1">
      <c r="A393" s="221">
        <v>9</v>
      </c>
      <c r="B393" s="303">
        <v>2</v>
      </c>
      <c r="C393" s="222" t="s">
        <v>662</v>
      </c>
      <c r="D393" s="222" t="s">
        <v>663</v>
      </c>
      <c r="E393" s="222" t="s">
        <v>660</v>
      </c>
      <c r="F393" s="221" t="s">
        <v>524</v>
      </c>
      <c r="G393" s="225">
        <v>0</v>
      </c>
      <c r="H393" s="225">
        <f t="shared" si="256"/>
        <v>0</v>
      </c>
      <c r="I393" s="225">
        <f t="shared" si="257"/>
        <v>0</v>
      </c>
      <c r="J393" s="197"/>
      <c r="K393" s="224">
        <f t="shared" si="258"/>
        <v>18.738607080325004</v>
      </c>
      <c r="L393" s="224">
        <f t="shared" si="240"/>
        <v>1.5472244378250002</v>
      </c>
      <c r="M393" s="224">
        <f t="shared" si="259"/>
        <v>17.191382642500002</v>
      </c>
      <c r="N393" s="282">
        <v>5.4725000000000001</v>
      </c>
      <c r="O393" s="282">
        <v>3.5621</v>
      </c>
      <c r="P393" s="282">
        <v>2.4874999999999998</v>
      </c>
      <c r="Q393" s="282">
        <v>4.1064296750000002</v>
      </c>
      <c r="R393" s="226">
        <v>0.1</v>
      </c>
      <c r="S393" s="227">
        <f t="shared" si="260"/>
        <v>1.5628529675000005</v>
      </c>
      <c r="T393" s="349"/>
      <c r="U393" s="303"/>
    </row>
    <row r="394" spans="1:21" ht="31.5" outlineLevel="1">
      <c r="A394" s="221">
        <v>10</v>
      </c>
      <c r="B394" s="303">
        <v>2</v>
      </c>
      <c r="C394" s="222" t="s">
        <v>1022</v>
      </c>
      <c r="D394" s="222"/>
      <c r="E394" s="222" t="s">
        <v>660</v>
      </c>
      <c r="F394" s="221" t="s">
        <v>524</v>
      </c>
      <c r="G394" s="225">
        <v>0</v>
      </c>
      <c r="H394" s="225">
        <f t="shared" si="256"/>
        <v>0</v>
      </c>
      <c r="I394" s="225">
        <f t="shared" si="257"/>
        <v>0</v>
      </c>
      <c r="J394" s="197"/>
      <c r="K394" s="303"/>
      <c r="L394" s="224">
        <f t="shared" si="240"/>
        <v>0</v>
      </c>
      <c r="M394" s="248"/>
      <c r="N394" s="248"/>
      <c r="O394" s="248"/>
      <c r="P394" s="248"/>
      <c r="Q394" s="248"/>
      <c r="R394" s="226">
        <v>0.1</v>
      </c>
      <c r="S394" s="248"/>
      <c r="T394" s="348"/>
      <c r="U394" s="248"/>
    </row>
    <row r="395" spans="1:21" ht="21" outlineLevel="1">
      <c r="A395" s="221">
        <v>11</v>
      </c>
      <c r="B395" s="221">
        <v>2</v>
      </c>
      <c r="C395" s="222" t="s">
        <v>1023</v>
      </c>
      <c r="D395" s="222" t="s">
        <v>648</v>
      </c>
      <c r="E395" s="222"/>
      <c r="F395" s="221" t="s">
        <v>162</v>
      </c>
      <c r="G395" s="225">
        <v>0</v>
      </c>
      <c r="H395" s="225">
        <f t="shared" si="256"/>
        <v>0</v>
      </c>
      <c r="I395" s="225">
        <f t="shared" si="257"/>
        <v>0</v>
      </c>
      <c r="J395" s="197"/>
      <c r="K395" s="224"/>
      <c r="L395" s="224">
        <f t="shared" si="240"/>
        <v>0</v>
      </c>
      <c r="M395" s="224"/>
      <c r="N395" s="282"/>
      <c r="O395" s="282"/>
      <c r="P395" s="282"/>
      <c r="Q395" s="282"/>
      <c r="R395" s="226">
        <v>0.1</v>
      </c>
      <c r="S395" s="227"/>
      <c r="T395" s="349"/>
      <c r="U395" s="303"/>
    </row>
    <row r="396" spans="1:21" ht="46.15" customHeight="1" outlineLevel="1">
      <c r="A396" s="221">
        <v>12</v>
      </c>
      <c r="B396" s="303">
        <v>2</v>
      </c>
      <c r="C396" s="222" t="s">
        <v>266</v>
      </c>
      <c r="D396" s="222" t="s">
        <v>1024</v>
      </c>
      <c r="E396" s="222"/>
      <c r="F396" s="221" t="s">
        <v>162</v>
      </c>
      <c r="G396" s="225">
        <v>0</v>
      </c>
      <c r="H396" s="225">
        <f t="shared" si="256"/>
        <v>0</v>
      </c>
      <c r="I396" s="225">
        <f t="shared" si="257"/>
        <v>0</v>
      </c>
      <c r="J396" s="197"/>
      <c r="K396" s="224">
        <f t="shared" ref="K396:K399" si="261">L396+M396</f>
        <v>116.36477723403716</v>
      </c>
      <c r="L396" s="224">
        <f t="shared" si="240"/>
        <v>9.6081008725351786</v>
      </c>
      <c r="M396" s="224">
        <f t="shared" ref="M396:M399" si="262">N396+O396+P396+Q396+S396</f>
        <v>106.75667636150199</v>
      </c>
      <c r="N396" s="282">
        <v>4.9749999999999996</v>
      </c>
      <c r="O396" s="282">
        <f>调差材料基价表!E65*1.5</f>
        <v>88.5</v>
      </c>
      <c r="P396" s="282">
        <v>1.4924999999999999</v>
      </c>
      <c r="Q396" s="282">
        <v>2.0840239650018</v>
      </c>
      <c r="R396" s="226">
        <v>0.1</v>
      </c>
      <c r="S396" s="227">
        <f t="shared" ref="S396:S398" si="263">SUM(N396:Q396)*R396</f>
        <v>9.705152396500182</v>
      </c>
      <c r="T396" s="349"/>
      <c r="U396" s="303"/>
    </row>
    <row r="397" spans="1:21" ht="13.5" outlineLevel="1">
      <c r="A397" s="221">
        <v>13</v>
      </c>
      <c r="B397" s="221">
        <v>2</v>
      </c>
      <c r="C397" s="222" t="s">
        <v>269</v>
      </c>
      <c r="D397" s="222" t="s">
        <v>1025</v>
      </c>
      <c r="E397" s="222"/>
      <c r="F397" s="221" t="s">
        <v>162</v>
      </c>
      <c r="G397" s="225">
        <v>0</v>
      </c>
      <c r="H397" s="225">
        <f t="shared" si="256"/>
        <v>0</v>
      </c>
      <c r="I397" s="225">
        <f t="shared" si="257"/>
        <v>0</v>
      </c>
      <c r="J397" s="197"/>
      <c r="K397" s="224">
        <f t="shared" si="261"/>
        <v>116.12769752409258</v>
      </c>
      <c r="L397" s="224">
        <f t="shared" si="240"/>
        <v>9.5885254836406713</v>
      </c>
      <c r="M397" s="224">
        <f t="shared" si="262"/>
        <v>106.53917204045192</v>
      </c>
      <c r="N397" s="282">
        <v>4.9749999999999996</v>
      </c>
      <c r="O397" s="282">
        <f>调差材料基价表!E65*1.5</f>
        <v>88.5</v>
      </c>
      <c r="P397" s="282">
        <v>1.4924999999999999</v>
      </c>
      <c r="Q397" s="282">
        <v>1.8862927640472</v>
      </c>
      <c r="R397" s="226">
        <v>0.1</v>
      </c>
      <c r="S397" s="227">
        <f t="shared" si="263"/>
        <v>9.6853792764047206</v>
      </c>
      <c r="T397" s="349"/>
      <c r="U397" s="303"/>
    </row>
    <row r="398" spans="1:21" ht="13.5" outlineLevel="1">
      <c r="A398" s="221">
        <v>14</v>
      </c>
      <c r="B398" s="303">
        <v>2</v>
      </c>
      <c r="C398" s="222" t="s">
        <v>1026</v>
      </c>
      <c r="D398" s="222"/>
      <c r="E398" s="222" t="s">
        <v>660</v>
      </c>
      <c r="F398" s="221" t="s">
        <v>524</v>
      </c>
      <c r="G398" s="225">
        <v>0</v>
      </c>
      <c r="H398" s="225">
        <f t="shared" si="256"/>
        <v>0</v>
      </c>
      <c r="I398" s="225">
        <f t="shared" si="257"/>
        <v>0</v>
      </c>
      <c r="J398" s="197"/>
      <c r="K398" s="224">
        <f t="shared" si="261"/>
        <v>316.14632500000005</v>
      </c>
      <c r="L398" s="224">
        <f t="shared" si="240"/>
        <v>26.103825000000001</v>
      </c>
      <c r="M398" s="224">
        <f t="shared" si="262"/>
        <v>290.04250000000002</v>
      </c>
      <c r="N398" s="282">
        <v>24.875</v>
      </c>
      <c r="O398" s="282">
        <v>218.9</v>
      </c>
      <c r="P398" s="282">
        <v>14.925000000000001</v>
      </c>
      <c r="Q398" s="282">
        <v>4.9749999999999996</v>
      </c>
      <c r="R398" s="226">
        <v>0.1</v>
      </c>
      <c r="S398" s="227">
        <f t="shared" si="263"/>
        <v>26.367500000000003</v>
      </c>
      <c r="T398" s="349"/>
      <c r="U398" s="303"/>
    </row>
    <row r="399" spans="1:21" ht="57.6" customHeight="1" outlineLevel="1">
      <c r="A399" s="221">
        <v>15</v>
      </c>
      <c r="B399" s="221">
        <v>2</v>
      </c>
      <c r="C399" s="222" t="s">
        <v>1027</v>
      </c>
      <c r="D399" s="222"/>
      <c r="E399" s="222" t="s">
        <v>584</v>
      </c>
      <c r="F399" s="221" t="s">
        <v>265</v>
      </c>
      <c r="G399" s="225">
        <v>0</v>
      </c>
      <c r="H399" s="225">
        <f t="shared" si="256"/>
        <v>0</v>
      </c>
      <c r="I399" s="225">
        <f t="shared" si="257"/>
        <v>0</v>
      </c>
      <c r="J399" s="197"/>
      <c r="K399" s="224">
        <f t="shared" si="261"/>
        <v>26.145468098200006</v>
      </c>
      <c r="L399" s="224">
        <f t="shared" si="240"/>
        <v>2.1588001182000003</v>
      </c>
      <c r="M399" s="224">
        <f t="shared" si="262"/>
        <v>23.986667980000004</v>
      </c>
      <c r="N399" s="282">
        <v>11.94</v>
      </c>
      <c r="O399" s="282">
        <v>9.1695618000000003</v>
      </c>
      <c r="P399" s="282">
        <v>0.4975</v>
      </c>
      <c r="Q399" s="282">
        <v>0.19900000000000001</v>
      </c>
      <c r="R399" s="226">
        <v>0.1</v>
      </c>
      <c r="S399" s="227">
        <f t="shared" ref="S399" si="264">SUM(N399:Q399)*R399</f>
        <v>2.1806061800000003</v>
      </c>
      <c r="T399" s="349"/>
      <c r="U399" s="303"/>
    </row>
    <row r="400" spans="1:21" ht="13.5" outlineLevel="1">
      <c r="A400" s="221">
        <v>16</v>
      </c>
      <c r="B400" s="303">
        <v>2</v>
      </c>
      <c r="C400" s="388" t="s">
        <v>1028</v>
      </c>
      <c r="D400" s="388" t="s">
        <v>1029</v>
      </c>
      <c r="E400" s="388" t="s">
        <v>1030</v>
      </c>
      <c r="F400" s="221" t="s">
        <v>524</v>
      </c>
      <c r="G400" s="225">
        <v>0</v>
      </c>
      <c r="H400" s="225">
        <f t="shared" si="256"/>
        <v>0</v>
      </c>
      <c r="I400" s="225">
        <f t="shared" si="257"/>
        <v>0</v>
      </c>
      <c r="J400" s="197"/>
      <c r="K400" s="224">
        <f t="shared" ref="K400:K403" si="265">L400+M400</f>
        <v>13.427600999999999</v>
      </c>
      <c r="L400" s="224">
        <f t="shared" si="240"/>
        <v>1.1087009999999999</v>
      </c>
      <c r="M400" s="224">
        <f t="shared" ref="M400:M403" si="266">N400+O400+P400+Q400+S400</f>
        <v>12.318899999999999</v>
      </c>
      <c r="N400" s="282">
        <v>6</v>
      </c>
      <c r="O400" s="282">
        <v>4</v>
      </c>
      <c r="P400" s="282">
        <v>1</v>
      </c>
      <c r="Q400" s="282">
        <v>0.19900000000000001</v>
      </c>
      <c r="R400" s="226">
        <v>0.1</v>
      </c>
      <c r="S400" s="227">
        <f t="shared" ref="S400:S403" si="267">SUM(N400:Q400)*R400</f>
        <v>1.1199000000000001</v>
      </c>
      <c r="T400" s="349"/>
      <c r="U400" s="303" t="s">
        <v>1031</v>
      </c>
    </row>
    <row r="401" spans="1:25" ht="13.5" outlineLevel="1">
      <c r="A401" s="221">
        <v>17</v>
      </c>
      <c r="B401" s="221">
        <v>2</v>
      </c>
      <c r="C401" s="388" t="s">
        <v>1028</v>
      </c>
      <c r="D401" s="388" t="s">
        <v>1032</v>
      </c>
      <c r="E401" s="388" t="s">
        <v>1030</v>
      </c>
      <c r="F401" s="221" t="s">
        <v>524</v>
      </c>
      <c r="G401" s="225">
        <v>0</v>
      </c>
      <c r="H401" s="225">
        <f t="shared" si="256"/>
        <v>0</v>
      </c>
      <c r="I401" s="225">
        <f t="shared" si="257"/>
        <v>0</v>
      </c>
      <c r="J401" s="197"/>
      <c r="K401" s="224">
        <f t="shared" si="265"/>
        <v>13.427600999999999</v>
      </c>
      <c r="L401" s="224">
        <f t="shared" si="240"/>
        <v>1.1087009999999999</v>
      </c>
      <c r="M401" s="224">
        <f t="shared" si="266"/>
        <v>12.318899999999999</v>
      </c>
      <c r="N401" s="282">
        <v>6</v>
      </c>
      <c r="O401" s="282">
        <v>4</v>
      </c>
      <c r="P401" s="282">
        <v>1</v>
      </c>
      <c r="Q401" s="282">
        <v>0.19900000000000001</v>
      </c>
      <c r="R401" s="226">
        <v>0.1</v>
      </c>
      <c r="S401" s="227">
        <f t="shared" si="267"/>
        <v>1.1199000000000001</v>
      </c>
      <c r="T401" s="349"/>
      <c r="U401" s="303" t="s">
        <v>1031</v>
      </c>
    </row>
    <row r="402" spans="1:25" ht="13.5" outlineLevel="1">
      <c r="A402" s="221">
        <v>18</v>
      </c>
      <c r="B402" s="303">
        <v>2</v>
      </c>
      <c r="C402" s="388" t="s">
        <v>1028</v>
      </c>
      <c r="D402" s="388" t="s">
        <v>1033</v>
      </c>
      <c r="E402" s="388" t="s">
        <v>1030</v>
      </c>
      <c r="F402" s="221" t="s">
        <v>524</v>
      </c>
      <c r="G402" s="225">
        <v>0</v>
      </c>
      <c r="H402" s="225">
        <f t="shared" si="256"/>
        <v>0</v>
      </c>
      <c r="I402" s="225">
        <f t="shared" si="257"/>
        <v>0</v>
      </c>
      <c r="J402" s="197"/>
      <c r="K402" s="224">
        <f t="shared" si="265"/>
        <v>13.427600999999999</v>
      </c>
      <c r="L402" s="224">
        <f t="shared" si="240"/>
        <v>1.1087009999999999</v>
      </c>
      <c r="M402" s="224">
        <f t="shared" si="266"/>
        <v>12.318899999999999</v>
      </c>
      <c r="N402" s="282">
        <v>6</v>
      </c>
      <c r="O402" s="282">
        <v>4</v>
      </c>
      <c r="P402" s="282">
        <v>1</v>
      </c>
      <c r="Q402" s="282">
        <v>0.19900000000000001</v>
      </c>
      <c r="R402" s="226">
        <v>0.1</v>
      </c>
      <c r="S402" s="227">
        <f t="shared" si="267"/>
        <v>1.1199000000000001</v>
      </c>
      <c r="T402" s="349"/>
      <c r="U402" s="303" t="s">
        <v>1031</v>
      </c>
    </row>
    <row r="403" spans="1:25" ht="13.5" outlineLevel="1">
      <c r="A403" s="221">
        <v>19</v>
      </c>
      <c r="B403" s="221">
        <v>2</v>
      </c>
      <c r="C403" s="388" t="s">
        <v>1028</v>
      </c>
      <c r="D403" s="388" t="s">
        <v>1034</v>
      </c>
      <c r="E403" s="388" t="s">
        <v>1030</v>
      </c>
      <c r="F403" s="221" t="s">
        <v>524</v>
      </c>
      <c r="G403" s="225">
        <v>0</v>
      </c>
      <c r="H403" s="225">
        <f t="shared" si="256"/>
        <v>0</v>
      </c>
      <c r="I403" s="225">
        <f t="shared" si="257"/>
        <v>0</v>
      </c>
      <c r="J403" s="197"/>
      <c r="K403" s="224">
        <f t="shared" si="265"/>
        <v>13.427600999999999</v>
      </c>
      <c r="L403" s="224">
        <f t="shared" si="240"/>
        <v>1.1087009999999999</v>
      </c>
      <c r="M403" s="224">
        <f t="shared" si="266"/>
        <v>12.318899999999999</v>
      </c>
      <c r="N403" s="282">
        <v>6</v>
      </c>
      <c r="O403" s="282">
        <v>4</v>
      </c>
      <c r="P403" s="282">
        <v>1</v>
      </c>
      <c r="Q403" s="282">
        <v>0.19900000000000001</v>
      </c>
      <c r="R403" s="226">
        <v>0.1</v>
      </c>
      <c r="S403" s="227">
        <f t="shared" si="267"/>
        <v>1.1199000000000001</v>
      </c>
      <c r="T403" s="349"/>
      <c r="U403" s="303" t="s">
        <v>1031</v>
      </c>
    </row>
    <row r="404" spans="1:25" ht="99" customHeight="1" outlineLevel="1">
      <c r="A404" s="221">
        <v>20</v>
      </c>
      <c r="B404" s="303">
        <v>2</v>
      </c>
      <c r="C404" s="222" t="s">
        <v>1035</v>
      </c>
      <c r="D404" s="230" t="s">
        <v>736</v>
      </c>
      <c r="E404" s="230" t="s">
        <v>231</v>
      </c>
      <c r="F404" s="221" t="s">
        <v>265</v>
      </c>
      <c r="G404" s="225">
        <v>0</v>
      </c>
      <c r="H404" s="225">
        <f t="shared" si="256"/>
        <v>0</v>
      </c>
      <c r="I404" s="225">
        <f t="shared" si="257"/>
        <v>0</v>
      </c>
      <c r="J404" s="197"/>
      <c r="K404" s="224">
        <f t="shared" ref="K404:K406" si="268">L404+M404</f>
        <v>66.211777500000011</v>
      </c>
      <c r="L404" s="224">
        <f t="shared" si="240"/>
        <v>5.4670275000000004</v>
      </c>
      <c r="M404" s="224">
        <f t="shared" ref="M404:M406" si="269">N404+O404+P404+Q404+S404</f>
        <v>60.744750000000003</v>
      </c>
      <c r="N404" s="282">
        <v>34.825000000000003</v>
      </c>
      <c r="O404" s="282">
        <v>17.412500000000001</v>
      </c>
      <c r="P404" s="282">
        <v>1.99</v>
      </c>
      <c r="Q404" s="282">
        <v>0.995</v>
      </c>
      <c r="R404" s="226">
        <v>0.1</v>
      </c>
      <c r="S404" s="227">
        <f t="shared" ref="S404" si="270">SUM(N404:Q404)*R404</f>
        <v>5.5222500000000005</v>
      </c>
      <c r="T404" s="349"/>
      <c r="U404" s="303"/>
    </row>
    <row r="405" spans="1:25" ht="76.900000000000006" customHeight="1" outlineLevel="1">
      <c r="A405" s="221">
        <v>21</v>
      </c>
      <c r="B405" s="221">
        <v>2</v>
      </c>
      <c r="C405" s="277" t="s">
        <v>654</v>
      </c>
      <c r="D405" s="277" t="s">
        <v>1036</v>
      </c>
      <c r="E405" s="277" t="s">
        <v>652</v>
      </c>
      <c r="F405" s="311" t="s">
        <v>212</v>
      </c>
      <c r="G405" s="225">
        <v>2846.1872217987798</v>
      </c>
      <c r="H405" s="225">
        <f t="shared" si="256"/>
        <v>466282.3139856286</v>
      </c>
      <c r="I405" s="225">
        <f t="shared" si="257"/>
        <v>466282.3139856286</v>
      </c>
      <c r="J405" s="197"/>
      <c r="K405" s="224">
        <f t="shared" si="268"/>
        <v>163.82699999999997</v>
      </c>
      <c r="L405" s="224">
        <f t="shared" si="240"/>
        <v>13.526999999999997</v>
      </c>
      <c r="M405" s="224">
        <f t="shared" si="269"/>
        <v>150.29999999999998</v>
      </c>
      <c r="N405" s="225">
        <v>23</v>
      </c>
      <c r="O405" s="225">
        <f>125/1.1</f>
        <v>113.63636363636363</v>
      </c>
      <c r="P405" s="225">
        <v>0</v>
      </c>
      <c r="Q405" s="225">
        <v>0</v>
      </c>
      <c r="R405" s="226">
        <v>0.1</v>
      </c>
      <c r="S405" s="227">
        <f>SUM(N405:Q405)*R405</f>
        <v>13.663636363636364</v>
      </c>
      <c r="T405" s="349"/>
      <c r="U405" s="303"/>
    </row>
    <row r="406" spans="1:25" ht="13.5" outlineLevel="1">
      <c r="A406" s="221">
        <v>22</v>
      </c>
      <c r="B406" s="303">
        <v>2</v>
      </c>
      <c r="C406" s="277" t="s">
        <v>657</v>
      </c>
      <c r="D406" s="277"/>
      <c r="E406" s="277"/>
      <c r="F406" s="311" t="s">
        <v>524</v>
      </c>
      <c r="G406" s="225">
        <v>948.72907393292701</v>
      </c>
      <c r="H406" s="225">
        <f t="shared" si="256"/>
        <v>17062.892394683691</v>
      </c>
      <c r="I406" s="225">
        <f t="shared" si="257"/>
        <v>17062.892394683691</v>
      </c>
      <c r="J406" s="197"/>
      <c r="K406" s="224">
        <f t="shared" si="268"/>
        <v>17.984999999999999</v>
      </c>
      <c r="L406" s="224">
        <f t="shared" si="240"/>
        <v>1.4849999999999999</v>
      </c>
      <c r="M406" s="224">
        <f t="shared" si="269"/>
        <v>16.5</v>
      </c>
      <c r="N406" s="282">
        <v>3</v>
      </c>
      <c r="O406" s="282">
        <v>12</v>
      </c>
      <c r="P406" s="282">
        <v>0</v>
      </c>
      <c r="Q406" s="282">
        <v>0</v>
      </c>
      <c r="R406" s="226">
        <v>0.1</v>
      </c>
      <c r="S406" s="227">
        <f>SUM(N406:Q406)*R406</f>
        <v>1.5</v>
      </c>
      <c r="T406" s="349"/>
      <c r="U406" s="303"/>
    </row>
    <row r="407" spans="1:25" ht="13.5">
      <c r="A407" s="277"/>
      <c r="B407" s="277"/>
      <c r="C407" s="211" t="s">
        <v>248</v>
      </c>
      <c r="D407" s="222"/>
      <c r="E407" s="222"/>
      <c r="F407" s="221"/>
      <c r="G407" s="221"/>
      <c r="H407" s="344">
        <f>SUM(H385:H406)</f>
        <v>483345.20638031227</v>
      </c>
      <c r="I407" s="344">
        <f>SUM(I385:I406)</f>
        <v>483345.20638031227</v>
      </c>
      <c r="J407" s="221"/>
      <c r="K407" s="306"/>
      <c r="L407" s="306"/>
      <c r="M407" s="306"/>
      <c r="N407" s="305"/>
      <c r="O407" s="305"/>
      <c r="P407" s="305"/>
      <c r="Q407" s="305"/>
      <c r="R407" s="306"/>
      <c r="S407" s="306"/>
      <c r="T407" s="276"/>
      <c r="U407" s="306"/>
      <c r="V407" s="8"/>
      <c r="W407" s="8"/>
      <c r="X407" s="8"/>
      <c r="Y407" s="8"/>
    </row>
    <row r="408" spans="1:25" ht="25.15" customHeight="1">
      <c r="A408" s="318"/>
      <c r="B408" s="319"/>
      <c r="C408" s="389" t="s">
        <v>35</v>
      </c>
      <c r="D408" s="319"/>
      <c r="E408" s="319"/>
      <c r="F408" s="321"/>
      <c r="G408" s="322"/>
      <c r="H408" s="390">
        <f>H34+H72+H143+H261+H336+H346+H376+H383+H407</f>
        <v>136080714.69355151</v>
      </c>
      <c r="I408" s="390">
        <f>I34+I72+I143+I261+I336+I346+I376+I383+I407</f>
        <v>136080714.69355151</v>
      </c>
      <c r="J408" s="306"/>
      <c r="K408" s="224"/>
      <c r="L408" s="224"/>
      <c r="M408" s="224"/>
      <c r="N408" s="306"/>
      <c r="O408" s="306"/>
      <c r="P408" s="306"/>
      <c r="Q408" s="306"/>
      <c r="R408" s="306"/>
      <c r="S408" s="306"/>
      <c r="T408" s="306"/>
      <c r="U408" s="306"/>
    </row>
    <row r="409" spans="1:25" ht="36.950000000000003" customHeight="1">
      <c r="A409" s="37"/>
      <c r="B409" s="37"/>
      <c r="C409" s="37"/>
      <c r="D409" s="37"/>
      <c r="E409" s="37"/>
      <c r="F409" s="37"/>
      <c r="G409" s="37"/>
    </row>
    <row r="410" spans="1:25" ht="36.950000000000003" customHeight="1">
      <c r="A410" s="37"/>
      <c r="B410" s="37"/>
      <c r="C410" s="37"/>
      <c r="D410" s="37"/>
      <c r="E410" s="37"/>
      <c r="F410" s="37"/>
      <c r="G410" s="37"/>
    </row>
    <row r="411" spans="1:25" ht="36.950000000000003" customHeight="1">
      <c r="A411" s="37"/>
      <c r="B411" s="37"/>
      <c r="C411" s="37"/>
      <c r="D411" s="37"/>
      <c r="E411" s="37"/>
      <c r="F411" s="37"/>
      <c r="G411" s="37"/>
    </row>
    <row r="412" spans="1:25" ht="36.950000000000003" customHeight="1">
      <c r="A412" s="37"/>
      <c r="B412" s="37"/>
      <c r="C412" s="37"/>
      <c r="D412" s="37"/>
      <c r="E412" s="37"/>
      <c r="F412" s="37"/>
      <c r="G412" s="37"/>
    </row>
    <row r="413" spans="1:25" ht="36.950000000000003" customHeight="1">
      <c r="A413" s="37"/>
      <c r="B413" s="37"/>
      <c r="C413" s="37"/>
      <c r="D413" s="37"/>
      <c r="E413" s="37"/>
      <c r="F413" s="37"/>
      <c r="G413" s="37"/>
    </row>
  </sheetData>
  <sheetProtection password="C743" sheet="1" objects="1" scenarios="1"/>
  <autoFilter ref="A4:Y408"/>
  <mergeCells count="16">
    <mergeCell ref="A1:U1"/>
    <mergeCell ref="N2:S2"/>
    <mergeCell ref="A2:A4"/>
    <mergeCell ref="B2:B4"/>
    <mergeCell ref="C2:C4"/>
    <mergeCell ref="D2:D4"/>
    <mergeCell ref="E2:E4"/>
    <mergeCell ref="F2:F4"/>
    <mergeCell ref="G2:G4"/>
    <mergeCell ref="H2:H4"/>
    <mergeCell ref="I2:I4"/>
    <mergeCell ref="J2:J4"/>
    <mergeCell ref="K2:K3"/>
    <mergeCell ref="L2:L3"/>
    <mergeCell ref="M2:M3"/>
    <mergeCell ref="U2:U4"/>
  </mergeCells>
  <phoneticPr fontId="112" type="noConversion"/>
  <conditionalFormatting sqref="P274">
    <cfRule type="expression" dxfId="1" priority="8" stopIfTrue="1">
      <formula>#REF!=1</formula>
    </cfRule>
  </conditionalFormatting>
  <conditionalFormatting sqref="P319">
    <cfRule type="expression" dxfId="0" priority="1" stopIfTrue="1">
      <formula>#REF!=1</formula>
    </cfRule>
  </conditionalFormatting>
  <printOptions horizontalCentered="1"/>
  <pageMargins left="0.19685039370078741" right="0.19685039370078741" top="0.98425196850393704" bottom="0.39370078740157483" header="0" footer="0.31496062992125984"/>
  <pageSetup paperSize="9" scale="90" orientation="landscape" r:id="rId1"/>
  <headerFooter>
    <oddFooter>&amp;C第 &amp;P 页，共 &amp;N 页</oddFooter>
  </headerFooter>
  <colBreaks count="1" manualBreakCount="1">
    <brk id="2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heetPr>
  <dimension ref="A1:V414"/>
  <sheetViews>
    <sheetView view="pageBreakPreview" zoomScaleNormal="90" zoomScaleSheetLayoutView="100" workbookViewId="0">
      <pane xSplit="7" ySplit="5" topLeftCell="H264" activePane="bottomRight" state="frozen"/>
      <selection pane="topRight"/>
      <selection pane="bottomLeft"/>
      <selection pane="bottomRight" activeCell="I268" sqref="I268 R268"/>
    </sheetView>
  </sheetViews>
  <sheetFormatPr defaultColWidth="9" defaultRowHeight="13.5" outlineLevelRow="1"/>
  <cols>
    <col min="1" max="1" width="4.5" style="38" customWidth="1"/>
    <col min="2" max="2" width="6.75" style="38" customWidth="1"/>
    <col min="3" max="3" width="3.25" style="38" customWidth="1"/>
    <col min="4" max="4" width="10.75" style="38" customWidth="1"/>
    <col min="5" max="5" width="7.125" style="38" customWidth="1"/>
    <col min="6" max="6" width="13.5" style="38" customWidth="1"/>
    <col min="7" max="7" width="4.25" style="38" customWidth="1"/>
    <col min="8" max="9" width="9.125" style="38" customWidth="1"/>
    <col min="10" max="11" width="11.25" style="38" customWidth="1"/>
    <col min="12" max="12" width="10.25" style="38" customWidth="1"/>
    <col min="13" max="13" width="10.125" style="38" customWidth="1"/>
    <col min="14" max="14" width="11.375" style="38" customWidth="1"/>
    <col min="15" max="15" width="7.5" style="38" customWidth="1"/>
    <col min="16" max="17" width="6.75" style="38" customWidth="1"/>
    <col min="18" max="18" width="7.5" style="38" customWidth="1"/>
    <col min="19" max="19" width="10.25" style="38" customWidth="1"/>
    <col min="20" max="22" width="11.375" style="38" customWidth="1"/>
    <col min="23" max="16384" width="9" style="38"/>
  </cols>
  <sheetData>
    <row r="1" spans="1:19" ht="32.25" customHeight="1">
      <c r="A1" s="667" t="s">
        <v>1037</v>
      </c>
      <c r="B1" s="667"/>
      <c r="C1" s="667"/>
      <c r="D1" s="667"/>
      <c r="E1" s="667"/>
      <c r="F1" s="667"/>
      <c r="G1" s="667"/>
      <c r="H1" s="667"/>
      <c r="I1" s="667"/>
      <c r="J1" s="667"/>
      <c r="K1" s="667"/>
      <c r="L1" s="667"/>
      <c r="M1" s="667"/>
      <c r="N1" s="667"/>
      <c r="O1" s="667"/>
      <c r="P1" s="667"/>
      <c r="Q1" s="667"/>
      <c r="R1" s="667"/>
      <c r="S1" s="667"/>
    </row>
    <row r="2" spans="1:19">
      <c r="A2" s="662" t="s">
        <v>2105</v>
      </c>
      <c r="B2" s="663" t="s">
        <v>1038</v>
      </c>
      <c r="C2" s="663" t="s">
        <v>131</v>
      </c>
      <c r="D2" s="662" t="s">
        <v>132</v>
      </c>
      <c r="E2" s="662" t="s">
        <v>1039</v>
      </c>
      <c r="F2" s="662" t="s">
        <v>134</v>
      </c>
      <c r="G2" s="662" t="s">
        <v>135</v>
      </c>
      <c r="H2" s="663" t="s">
        <v>1040</v>
      </c>
      <c r="I2" s="663" t="s">
        <v>1041</v>
      </c>
      <c r="J2" s="663" t="s">
        <v>1042</v>
      </c>
      <c r="K2" s="663" t="s">
        <v>1043</v>
      </c>
      <c r="L2" s="663" t="s">
        <v>1044</v>
      </c>
      <c r="M2" s="663" t="s">
        <v>1045</v>
      </c>
      <c r="N2" s="665" t="s">
        <v>139</v>
      </c>
      <c r="O2" s="662" t="s">
        <v>1046</v>
      </c>
      <c r="P2" s="662"/>
      <c r="Q2" s="662"/>
      <c r="R2" s="662"/>
      <c r="S2" s="662" t="s">
        <v>11</v>
      </c>
    </row>
    <row r="3" spans="1:19" ht="45" customHeight="1">
      <c r="A3" s="662"/>
      <c r="B3" s="664"/>
      <c r="C3" s="664"/>
      <c r="D3" s="662"/>
      <c r="E3" s="662"/>
      <c r="F3" s="662"/>
      <c r="G3" s="662"/>
      <c r="H3" s="664"/>
      <c r="I3" s="664"/>
      <c r="J3" s="664"/>
      <c r="K3" s="664"/>
      <c r="L3" s="664"/>
      <c r="M3" s="664"/>
      <c r="N3" s="666"/>
      <c r="O3" s="391" t="s">
        <v>1047</v>
      </c>
      <c r="P3" s="391" t="s">
        <v>1048</v>
      </c>
      <c r="Q3" s="391" t="s">
        <v>1049</v>
      </c>
      <c r="R3" s="391" t="s">
        <v>1050</v>
      </c>
      <c r="S3" s="662"/>
    </row>
    <row r="4" spans="1:19">
      <c r="A4" s="392" t="s">
        <v>1051</v>
      </c>
      <c r="B4" s="392" t="s">
        <v>1052</v>
      </c>
      <c r="C4" s="392" t="s">
        <v>1053</v>
      </c>
      <c r="D4" s="659" t="s">
        <v>1054</v>
      </c>
      <c r="E4" s="660"/>
      <c r="F4" s="661"/>
      <c r="G4" s="370"/>
      <c r="H4" s="370"/>
      <c r="I4" s="370"/>
      <c r="J4" s="370"/>
      <c r="K4" s="370"/>
      <c r="L4" s="370"/>
      <c r="M4" s="370"/>
      <c r="N4" s="370"/>
      <c r="O4" s="370"/>
      <c r="P4" s="370"/>
      <c r="Q4" s="370"/>
      <c r="R4" s="393"/>
      <c r="S4" s="370"/>
    </row>
    <row r="5" spans="1:19">
      <c r="A5" s="392" t="s">
        <v>1052</v>
      </c>
      <c r="B5" s="392" t="s">
        <v>1055</v>
      </c>
      <c r="C5" s="392" t="s">
        <v>1056</v>
      </c>
      <c r="D5" s="394" t="s">
        <v>1057</v>
      </c>
      <c r="E5" s="248"/>
      <c r="F5" s="248"/>
      <c r="G5" s="370"/>
      <c r="H5" s="370"/>
      <c r="I5" s="370"/>
      <c r="J5" s="370"/>
      <c r="K5" s="370"/>
      <c r="L5" s="370"/>
      <c r="M5" s="370"/>
      <c r="N5" s="370"/>
      <c r="O5" s="395"/>
      <c r="P5" s="395"/>
      <c r="Q5" s="395"/>
      <c r="R5" s="395"/>
      <c r="S5" s="370"/>
    </row>
    <row r="6" spans="1:19" ht="52.5" outlineLevel="1">
      <c r="A6" s="392" t="s">
        <v>1055</v>
      </c>
      <c r="B6" s="392" t="s">
        <v>1058</v>
      </c>
      <c r="C6" s="392" t="s">
        <v>1059</v>
      </c>
      <c r="D6" s="248" t="s">
        <v>1060</v>
      </c>
      <c r="E6" s="248" t="s">
        <v>1061</v>
      </c>
      <c r="F6" s="248" t="s">
        <v>1062</v>
      </c>
      <c r="G6" s="370" t="s">
        <v>1063</v>
      </c>
      <c r="H6" s="395">
        <v>184.5</v>
      </c>
      <c r="I6" s="395">
        <v>35.42</v>
      </c>
      <c r="J6" s="395">
        <f t="shared" ref="J6:J69" si="0">H6*R6</f>
        <v>2985.21</v>
      </c>
      <c r="K6" s="395">
        <f t="shared" ref="K6:K69" si="1">H6*R6*(1+N6)</f>
        <v>2985.21</v>
      </c>
      <c r="L6" s="395">
        <f t="shared" ref="L6:L69" si="2">I6*R6</f>
        <v>573.09559999999999</v>
      </c>
      <c r="M6" s="395">
        <f t="shared" ref="M6:M69" si="3">I6*R6*(1+N6)</f>
        <v>573.09559999999999</v>
      </c>
      <c r="N6" s="415"/>
      <c r="O6" s="393">
        <v>2.84</v>
      </c>
      <c r="P6" s="393">
        <v>12</v>
      </c>
      <c r="Q6" s="393">
        <f t="shared" ref="Q6:Q14" si="4">ROUND((O6+P6)*0.09,2)</f>
        <v>1.34</v>
      </c>
      <c r="R6" s="393">
        <f t="shared" ref="R6:R14" si="5">P6+O6+Q6</f>
        <v>16.18</v>
      </c>
      <c r="S6" s="370" t="s">
        <v>1064</v>
      </c>
    </row>
    <row r="7" spans="1:19" ht="52.5" outlineLevel="1">
      <c r="A7" s="392" t="s">
        <v>1055</v>
      </c>
      <c r="B7" s="392" t="s">
        <v>1065</v>
      </c>
      <c r="C7" s="392">
        <v>3</v>
      </c>
      <c r="D7" s="248" t="s">
        <v>1060</v>
      </c>
      <c r="E7" s="248" t="s">
        <v>1066</v>
      </c>
      <c r="F7" s="248" t="s">
        <v>1062</v>
      </c>
      <c r="G7" s="370" t="s">
        <v>1063</v>
      </c>
      <c r="H7" s="395">
        <v>20794.919999999998</v>
      </c>
      <c r="I7" s="395">
        <v>55.6</v>
      </c>
      <c r="J7" s="395">
        <f t="shared" si="0"/>
        <v>408713.39660689654</v>
      </c>
      <c r="K7" s="395">
        <f t="shared" si="1"/>
        <v>408713.39660689654</v>
      </c>
      <c r="L7" s="395">
        <f t="shared" si="2"/>
        <v>1092.7892413793104</v>
      </c>
      <c r="M7" s="395">
        <f t="shared" si="3"/>
        <v>1092.7892413793104</v>
      </c>
      <c r="N7" s="415"/>
      <c r="O7" s="393">
        <v>3.0344827586206899</v>
      </c>
      <c r="P7" s="393">
        <v>15</v>
      </c>
      <c r="Q7" s="393">
        <f t="shared" si="4"/>
        <v>1.62</v>
      </c>
      <c r="R7" s="393">
        <f t="shared" si="5"/>
        <v>19.654482758620691</v>
      </c>
      <c r="S7" s="370" t="s">
        <v>1064</v>
      </c>
    </row>
    <row r="8" spans="1:19" ht="52.5" outlineLevel="1">
      <c r="A8" s="392" t="s">
        <v>1055</v>
      </c>
      <c r="B8" s="392" t="s">
        <v>1067</v>
      </c>
      <c r="C8" s="392" t="s">
        <v>1059</v>
      </c>
      <c r="D8" s="248" t="s">
        <v>1060</v>
      </c>
      <c r="E8" s="248" t="s">
        <v>1068</v>
      </c>
      <c r="F8" s="248" t="s">
        <v>1062</v>
      </c>
      <c r="G8" s="370" t="s">
        <v>1063</v>
      </c>
      <c r="H8" s="395">
        <v>403.61</v>
      </c>
      <c r="I8" s="395">
        <v>35.65</v>
      </c>
      <c r="J8" s="395">
        <f t="shared" si="0"/>
        <v>10050.967612931032</v>
      </c>
      <c r="K8" s="395">
        <f t="shared" si="1"/>
        <v>10050.967612931032</v>
      </c>
      <c r="L8" s="395">
        <f t="shared" si="2"/>
        <v>887.7802715517239</v>
      </c>
      <c r="M8" s="395">
        <f t="shared" si="3"/>
        <v>887.7802715517239</v>
      </c>
      <c r="N8" s="415"/>
      <c r="O8" s="393">
        <v>4.8426724137930997</v>
      </c>
      <c r="P8" s="393">
        <v>18</v>
      </c>
      <c r="Q8" s="393">
        <f t="shared" si="4"/>
        <v>2.06</v>
      </c>
      <c r="R8" s="393">
        <f t="shared" si="5"/>
        <v>24.902672413793098</v>
      </c>
      <c r="S8" s="370" t="s">
        <v>1064</v>
      </c>
    </row>
    <row r="9" spans="1:19" ht="52.5" outlineLevel="1">
      <c r="A9" s="392" t="s">
        <v>1055</v>
      </c>
      <c r="B9" s="392" t="s">
        <v>1069</v>
      </c>
      <c r="C9" s="392" t="s">
        <v>1059</v>
      </c>
      <c r="D9" s="248" t="s">
        <v>1060</v>
      </c>
      <c r="E9" s="248" t="s">
        <v>1070</v>
      </c>
      <c r="F9" s="248" t="s">
        <v>1062</v>
      </c>
      <c r="G9" s="370" t="s">
        <v>1063</v>
      </c>
      <c r="H9" s="395">
        <v>198.56</v>
      </c>
      <c r="I9" s="395">
        <v>25.62</v>
      </c>
      <c r="J9" s="395">
        <f t="shared" si="0"/>
        <v>5729.3632137931027</v>
      </c>
      <c r="K9" s="395">
        <f t="shared" si="1"/>
        <v>5729.3632137931027</v>
      </c>
      <c r="L9" s="395">
        <f t="shared" si="2"/>
        <v>739.25405689655167</v>
      </c>
      <c r="M9" s="395">
        <f t="shared" si="3"/>
        <v>739.25405689655167</v>
      </c>
      <c r="N9" s="415"/>
      <c r="O9" s="393">
        <v>7.97456896551724</v>
      </c>
      <c r="P9" s="393">
        <v>18.5</v>
      </c>
      <c r="Q9" s="393">
        <f t="shared" si="4"/>
        <v>2.38</v>
      </c>
      <c r="R9" s="393">
        <f t="shared" si="5"/>
        <v>28.854568965517238</v>
      </c>
      <c r="S9" s="370" t="s">
        <v>1064</v>
      </c>
    </row>
    <row r="10" spans="1:19" ht="52.5" outlineLevel="1">
      <c r="A10" s="392" t="s">
        <v>1055</v>
      </c>
      <c r="B10" s="392" t="s">
        <v>1071</v>
      </c>
      <c r="C10" s="392" t="s">
        <v>1059</v>
      </c>
      <c r="D10" s="248" t="s">
        <v>1060</v>
      </c>
      <c r="E10" s="248" t="s">
        <v>1072</v>
      </c>
      <c r="F10" s="248" t="s">
        <v>1062</v>
      </c>
      <c r="G10" s="370" t="s">
        <v>1063</v>
      </c>
      <c r="H10" s="395"/>
      <c r="I10" s="395">
        <v>42.4</v>
      </c>
      <c r="J10" s="395">
        <f t="shared" si="0"/>
        <v>0</v>
      </c>
      <c r="K10" s="395">
        <f t="shared" si="1"/>
        <v>0</v>
      </c>
      <c r="L10" s="395">
        <f t="shared" si="2"/>
        <v>1589.8537931034471</v>
      </c>
      <c r="M10" s="395">
        <f t="shared" si="3"/>
        <v>1589.8537931034471</v>
      </c>
      <c r="N10" s="415"/>
      <c r="O10" s="393">
        <v>12.3965517241379</v>
      </c>
      <c r="P10" s="393">
        <v>22</v>
      </c>
      <c r="Q10" s="393">
        <f t="shared" si="4"/>
        <v>3.1</v>
      </c>
      <c r="R10" s="393">
        <f t="shared" si="5"/>
        <v>37.496551724137902</v>
      </c>
      <c r="S10" s="370" t="s">
        <v>1064</v>
      </c>
    </row>
    <row r="11" spans="1:19" ht="52.5" outlineLevel="1">
      <c r="A11" s="392" t="s">
        <v>1055</v>
      </c>
      <c r="B11" s="392" t="s">
        <v>1073</v>
      </c>
      <c r="C11" s="392" t="s">
        <v>1059</v>
      </c>
      <c r="D11" s="248" t="s">
        <v>1060</v>
      </c>
      <c r="E11" s="248" t="s">
        <v>1074</v>
      </c>
      <c r="F11" s="248" t="s">
        <v>1062</v>
      </c>
      <c r="G11" s="370" t="s">
        <v>1063</v>
      </c>
      <c r="H11" s="395"/>
      <c r="I11" s="395">
        <v>152.96</v>
      </c>
      <c r="J11" s="395">
        <f t="shared" si="0"/>
        <v>0</v>
      </c>
      <c r="K11" s="395">
        <f t="shared" si="1"/>
        <v>0</v>
      </c>
      <c r="L11" s="395">
        <f t="shared" si="2"/>
        <v>7630.7524413793035</v>
      </c>
      <c r="M11" s="395">
        <f t="shared" si="3"/>
        <v>7630.7524413793035</v>
      </c>
      <c r="N11" s="415"/>
      <c r="O11" s="393">
        <v>19.767241379310299</v>
      </c>
      <c r="P11" s="393">
        <v>26</v>
      </c>
      <c r="Q11" s="393">
        <f t="shared" si="4"/>
        <v>4.12</v>
      </c>
      <c r="R11" s="393">
        <f t="shared" si="5"/>
        <v>49.887241379310296</v>
      </c>
      <c r="S11" s="370" t="s">
        <v>1064</v>
      </c>
    </row>
    <row r="12" spans="1:19" ht="42" outlineLevel="1">
      <c r="A12" s="392" t="s">
        <v>1055</v>
      </c>
      <c r="B12" s="392" t="s">
        <v>1075</v>
      </c>
      <c r="C12" s="392" t="s">
        <v>1059</v>
      </c>
      <c r="D12" s="248" t="s">
        <v>1076</v>
      </c>
      <c r="E12" s="248" t="s">
        <v>1032</v>
      </c>
      <c r="F12" s="248" t="s">
        <v>1077</v>
      </c>
      <c r="G12" s="370" t="s">
        <v>1063</v>
      </c>
      <c r="H12" s="395"/>
      <c r="I12" s="395"/>
      <c r="J12" s="395">
        <f t="shared" si="0"/>
        <v>0</v>
      </c>
      <c r="K12" s="395">
        <f t="shared" si="1"/>
        <v>0</v>
      </c>
      <c r="L12" s="395">
        <f t="shared" si="2"/>
        <v>0</v>
      </c>
      <c r="M12" s="395">
        <f t="shared" si="3"/>
        <v>0</v>
      </c>
      <c r="N12" s="415"/>
      <c r="O12" s="393">
        <v>45.113517437304097</v>
      </c>
      <c r="P12" s="393">
        <f>35</f>
        <v>35</v>
      </c>
      <c r="Q12" s="393">
        <f t="shared" si="4"/>
        <v>7.21</v>
      </c>
      <c r="R12" s="393">
        <f t="shared" si="5"/>
        <v>87.323517437304091</v>
      </c>
      <c r="S12" s="370"/>
    </row>
    <row r="13" spans="1:19" ht="42" outlineLevel="1">
      <c r="A13" s="392" t="s">
        <v>1055</v>
      </c>
      <c r="B13" s="392" t="s">
        <v>1078</v>
      </c>
      <c r="C13" s="392" t="s">
        <v>1059</v>
      </c>
      <c r="D13" s="248" t="s">
        <v>1076</v>
      </c>
      <c r="E13" s="248" t="s">
        <v>1033</v>
      </c>
      <c r="F13" s="248" t="s">
        <v>1077</v>
      </c>
      <c r="G13" s="370" t="s">
        <v>1063</v>
      </c>
      <c r="H13" s="395"/>
      <c r="I13" s="395"/>
      <c r="J13" s="395">
        <f t="shared" si="0"/>
        <v>0</v>
      </c>
      <c r="K13" s="395">
        <f t="shared" si="1"/>
        <v>0</v>
      </c>
      <c r="L13" s="395">
        <f t="shared" si="2"/>
        <v>0</v>
      </c>
      <c r="M13" s="395">
        <f t="shared" si="3"/>
        <v>0</v>
      </c>
      <c r="N13" s="415"/>
      <c r="O13" s="393">
        <v>97.137547952586203</v>
      </c>
      <c r="P13" s="393">
        <f>40</f>
        <v>40</v>
      </c>
      <c r="Q13" s="393">
        <f t="shared" si="4"/>
        <v>12.34</v>
      </c>
      <c r="R13" s="393">
        <f t="shared" si="5"/>
        <v>149.47754795258621</v>
      </c>
      <c r="S13" s="370"/>
    </row>
    <row r="14" spans="1:19" ht="42" outlineLevel="1">
      <c r="A14" s="392" t="s">
        <v>1055</v>
      </c>
      <c r="B14" s="392" t="s">
        <v>1079</v>
      </c>
      <c r="C14" s="392" t="s">
        <v>1059</v>
      </c>
      <c r="D14" s="248" t="s">
        <v>1076</v>
      </c>
      <c r="E14" s="248" t="s">
        <v>1034</v>
      </c>
      <c r="F14" s="248" t="s">
        <v>1077</v>
      </c>
      <c r="G14" s="370" t="s">
        <v>1063</v>
      </c>
      <c r="H14" s="395"/>
      <c r="I14" s="395"/>
      <c r="J14" s="395">
        <f t="shared" si="0"/>
        <v>0</v>
      </c>
      <c r="K14" s="395">
        <f t="shared" si="1"/>
        <v>0</v>
      </c>
      <c r="L14" s="395">
        <f t="shared" si="2"/>
        <v>0</v>
      </c>
      <c r="M14" s="395">
        <f t="shared" si="3"/>
        <v>0</v>
      </c>
      <c r="N14" s="415"/>
      <c r="O14" s="393">
        <v>151.41584761951401</v>
      </c>
      <c r="P14" s="393">
        <f>45</f>
        <v>45</v>
      </c>
      <c r="Q14" s="393">
        <f t="shared" si="4"/>
        <v>17.68</v>
      </c>
      <c r="R14" s="393">
        <f t="shared" si="5"/>
        <v>214.09584761951402</v>
      </c>
      <c r="S14" s="370"/>
    </row>
    <row r="15" spans="1:19">
      <c r="A15" s="392" t="s">
        <v>1052</v>
      </c>
      <c r="B15" s="392" t="s">
        <v>1080</v>
      </c>
      <c r="C15" s="392" t="s">
        <v>1056</v>
      </c>
      <c r="D15" s="394" t="s">
        <v>1081</v>
      </c>
      <c r="E15" s="248"/>
      <c r="F15" s="248"/>
      <c r="G15" s="370"/>
      <c r="H15" s="395"/>
      <c r="I15" s="395"/>
      <c r="J15" s="395"/>
      <c r="K15" s="395"/>
      <c r="L15" s="395"/>
      <c r="M15" s="395"/>
      <c r="N15" s="416"/>
      <c r="O15" s="393"/>
      <c r="P15" s="393"/>
      <c r="Q15" s="393"/>
      <c r="R15" s="395"/>
      <c r="S15" s="370"/>
    </row>
    <row r="16" spans="1:19" ht="42" outlineLevel="1">
      <c r="A16" s="392" t="s">
        <v>1080</v>
      </c>
      <c r="B16" s="392" t="s">
        <v>1082</v>
      </c>
      <c r="C16" s="392" t="s">
        <v>1059</v>
      </c>
      <c r="D16" s="248" t="s">
        <v>1083</v>
      </c>
      <c r="E16" s="248" t="s">
        <v>1084</v>
      </c>
      <c r="F16" s="248" t="s">
        <v>2106</v>
      </c>
      <c r="G16" s="370" t="s">
        <v>1063</v>
      </c>
      <c r="H16" s="395"/>
      <c r="I16" s="395">
        <v>25.51</v>
      </c>
      <c r="J16" s="395">
        <f t="shared" si="0"/>
        <v>0</v>
      </c>
      <c r="K16" s="395">
        <f t="shared" si="1"/>
        <v>0</v>
      </c>
      <c r="L16" s="395">
        <f t="shared" si="2"/>
        <v>1755.8093172413805</v>
      </c>
      <c r="M16" s="395">
        <f t="shared" si="3"/>
        <v>1755.8093172413805</v>
      </c>
      <c r="N16" s="415"/>
      <c r="O16" s="393">
        <v>25.148275862068999</v>
      </c>
      <c r="P16" s="393">
        <v>38</v>
      </c>
      <c r="Q16" s="393">
        <f t="shared" ref="Q16:Q21" si="6">ROUND((O16+P16)*0.09,2)</f>
        <v>5.68</v>
      </c>
      <c r="R16" s="393">
        <f t="shared" ref="R16:R21" si="7">P16+O16+Q16</f>
        <v>68.828275862069006</v>
      </c>
      <c r="S16" s="370"/>
    </row>
    <row r="17" spans="1:19" ht="42" outlineLevel="1">
      <c r="A17" s="392" t="s">
        <v>1080</v>
      </c>
      <c r="B17" s="392" t="s">
        <v>1085</v>
      </c>
      <c r="C17" s="392" t="s">
        <v>1059</v>
      </c>
      <c r="D17" s="248" t="s">
        <v>1083</v>
      </c>
      <c r="E17" s="248" t="s">
        <v>1086</v>
      </c>
      <c r="F17" s="248" t="s">
        <v>2106</v>
      </c>
      <c r="G17" s="370" t="s">
        <v>1063</v>
      </c>
      <c r="H17" s="395"/>
      <c r="I17" s="395">
        <v>20.63</v>
      </c>
      <c r="J17" s="395">
        <f t="shared" si="0"/>
        <v>0</v>
      </c>
      <c r="K17" s="395">
        <f t="shared" si="1"/>
        <v>0</v>
      </c>
      <c r="L17" s="395">
        <f t="shared" si="2"/>
        <v>1641.9431227586197</v>
      </c>
      <c r="M17" s="395">
        <f t="shared" si="3"/>
        <v>1641.9431227586197</v>
      </c>
      <c r="N17" s="415"/>
      <c r="O17" s="393">
        <v>33.020068965517197</v>
      </c>
      <c r="P17" s="393">
        <v>40</v>
      </c>
      <c r="Q17" s="393">
        <f t="shared" si="6"/>
        <v>6.57</v>
      </c>
      <c r="R17" s="393">
        <f t="shared" si="7"/>
        <v>79.59006896551719</v>
      </c>
      <c r="S17" s="370"/>
    </row>
    <row r="18" spans="1:19" ht="42" outlineLevel="1">
      <c r="A18" s="392" t="s">
        <v>1080</v>
      </c>
      <c r="B18" s="392" t="s">
        <v>1087</v>
      </c>
      <c r="C18" s="392" t="s">
        <v>1059</v>
      </c>
      <c r="D18" s="248" t="s">
        <v>1083</v>
      </c>
      <c r="E18" s="248" t="s">
        <v>1088</v>
      </c>
      <c r="F18" s="248" t="s">
        <v>2106</v>
      </c>
      <c r="G18" s="370" t="s">
        <v>1063</v>
      </c>
      <c r="H18" s="395"/>
      <c r="I18" s="395">
        <v>48.45</v>
      </c>
      <c r="J18" s="395">
        <f t="shared" si="0"/>
        <v>0</v>
      </c>
      <c r="K18" s="395">
        <f t="shared" si="1"/>
        <v>0</v>
      </c>
      <c r="L18" s="395">
        <f t="shared" si="2"/>
        <v>4396.158782327584</v>
      </c>
      <c r="M18" s="395">
        <f t="shared" si="3"/>
        <v>4396.158782327584</v>
      </c>
      <c r="N18" s="415"/>
      <c r="O18" s="393">
        <v>41.245991379310297</v>
      </c>
      <c r="P18" s="393">
        <v>42</v>
      </c>
      <c r="Q18" s="393">
        <f t="shared" si="6"/>
        <v>7.49</v>
      </c>
      <c r="R18" s="393">
        <f t="shared" si="7"/>
        <v>90.735991379310292</v>
      </c>
      <c r="S18" s="370"/>
    </row>
    <row r="19" spans="1:19" ht="42" outlineLevel="1">
      <c r="A19" s="392" t="s">
        <v>1080</v>
      </c>
      <c r="B19" s="392" t="s">
        <v>1089</v>
      </c>
      <c r="C19" s="392" t="s">
        <v>1059</v>
      </c>
      <c r="D19" s="248" t="s">
        <v>1090</v>
      </c>
      <c r="E19" s="248" t="s">
        <v>1032</v>
      </c>
      <c r="F19" s="248" t="s">
        <v>2106</v>
      </c>
      <c r="G19" s="370" t="s">
        <v>1063</v>
      </c>
      <c r="H19" s="395"/>
      <c r="I19" s="395">
        <v>58.59</v>
      </c>
      <c r="J19" s="395">
        <f t="shared" si="0"/>
        <v>0</v>
      </c>
      <c r="K19" s="395">
        <f t="shared" si="1"/>
        <v>0</v>
      </c>
      <c r="L19" s="395">
        <f t="shared" si="2"/>
        <v>6281.8319079310359</v>
      </c>
      <c r="M19" s="395">
        <f t="shared" si="3"/>
        <v>6281.8319079310359</v>
      </c>
      <c r="N19" s="415"/>
      <c r="O19" s="393">
        <v>53.366793103448302</v>
      </c>
      <c r="P19" s="393">
        <v>45</v>
      </c>
      <c r="Q19" s="393">
        <f t="shared" si="6"/>
        <v>8.85</v>
      </c>
      <c r="R19" s="393">
        <f t="shared" si="7"/>
        <v>107.2167931034483</v>
      </c>
      <c r="S19" s="370"/>
    </row>
    <row r="20" spans="1:19" ht="42" outlineLevel="1">
      <c r="A20" s="392" t="s">
        <v>1080</v>
      </c>
      <c r="B20" s="392" t="s">
        <v>1091</v>
      </c>
      <c r="C20" s="392" t="s">
        <v>1059</v>
      </c>
      <c r="D20" s="248" t="s">
        <v>1090</v>
      </c>
      <c r="E20" s="248" t="s">
        <v>1033</v>
      </c>
      <c r="F20" s="248" t="s">
        <v>2106</v>
      </c>
      <c r="G20" s="370" t="s">
        <v>1063</v>
      </c>
      <c r="H20" s="395"/>
      <c r="I20" s="395">
        <v>68.47</v>
      </c>
      <c r="J20" s="395">
        <f t="shared" si="0"/>
        <v>0</v>
      </c>
      <c r="K20" s="395">
        <f t="shared" si="1"/>
        <v>0</v>
      </c>
      <c r="L20" s="395">
        <f t="shared" si="2"/>
        <v>14306.584562758624</v>
      </c>
      <c r="M20" s="395">
        <f t="shared" si="3"/>
        <v>14306.584562758624</v>
      </c>
      <c r="N20" s="415"/>
      <c r="O20" s="393">
        <v>93.696758620689707</v>
      </c>
      <c r="P20" s="393">
        <v>98</v>
      </c>
      <c r="Q20" s="393">
        <f t="shared" si="6"/>
        <v>17.25</v>
      </c>
      <c r="R20" s="393">
        <f t="shared" si="7"/>
        <v>208.94675862068971</v>
      </c>
      <c r="S20" s="370"/>
    </row>
    <row r="21" spans="1:19" ht="42" outlineLevel="1">
      <c r="A21" s="392" t="s">
        <v>1080</v>
      </c>
      <c r="B21" s="392" t="s">
        <v>1092</v>
      </c>
      <c r="C21" s="392" t="s">
        <v>1059</v>
      </c>
      <c r="D21" s="248" t="s">
        <v>1090</v>
      </c>
      <c r="E21" s="248" t="s">
        <v>1034</v>
      </c>
      <c r="F21" s="248" t="s">
        <v>2106</v>
      </c>
      <c r="G21" s="370" t="s">
        <v>1063</v>
      </c>
      <c r="H21" s="395"/>
      <c r="I21" s="395">
        <v>16.75</v>
      </c>
      <c r="J21" s="395">
        <f t="shared" si="0"/>
        <v>0</v>
      </c>
      <c r="K21" s="395">
        <f t="shared" si="1"/>
        <v>0</v>
      </c>
      <c r="L21" s="395">
        <f t="shared" si="2"/>
        <v>5025.149825862065</v>
      </c>
      <c r="M21" s="395">
        <f t="shared" si="3"/>
        <v>5025.149825862065</v>
      </c>
      <c r="N21" s="415"/>
      <c r="O21" s="393">
        <v>165.23894482758601</v>
      </c>
      <c r="P21" s="393">
        <v>110</v>
      </c>
      <c r="Q21" s="393">
        <f t="shared" si="6"/>
        <v>24.77</v>
      </c>
      <c r="R21" s="393">
        <f t="shared" si="7"/>
        <v>300.00894482758599</v>
      </c>
      <c r="S21" s="370"/>
    </row>
    <row r="22" spans="1:19">
      <c r="A22" s="392" t="s">
        <v>1052</v>
      </c>
      <c r="B22" s="392" t="s">
        <v>1093</v>
      </c>
      <c r="C22" s="392" t="s">
        <v>1056</v>
      </c>
      <c r="D22" s="394" t="s">
        <v>1094</v>
      </c>
      <c r="E22" s="248"/>
      <c r="F22" s="248"/>
      <c r="G22" s="370"/>
      <c r="H22" s="395"/>
      <c r="I22" s="395"/>
      <c r="J22" s="395"/>
      <c r="K22" s="395"/>
      <c r="L22" s="395"/>
      <c r="M22" s="395"/>
      <c r="N22" s="416"/>
      <c r="O22" s="393"/>
      <c r="P22" s="393"/>
      <c r="Q22" s="393"/>
      <c r="R22" s="395"/>
      <c r="S22" s="370"/>
    </row>
    <row r="23" spans="1:19" ht="42" outlineLevel="1">
      <c r="A23" s="392" t="s">
        <v>1093</v>
      </c>
      <c r="B23" s="392" t="s">
        <v>1095</v>
      </c>
      <c r="C23" s="392" t="s">
        <v>1059</v>
      </c>
      <c r="D23" s="388" t="s">
        <v>1096</v>
      </c>
      <c r="E23" s="388" t="s">
        <v>1097</v>
      </c>
      <c r="F23" s="388" t="s">
        <v>1098</v>
      </c>
      <c r="G23" s="292" t="s">
        <v>1099</v>
      </c>
      <c r="H23" s="395"/>
      <c r="I23" s="395"/>
      <c r="J23" s="395">
        <f t="shared" si="0"/>
        <v>0</v>
      </c>
      <c r="K23" s="395">
        <f t="shared" si="1"/>
        <v>0</v>
      </c>
      <c r="L23" s="395">
        <f t="shared" si="2"/>
        <v>0</v>
      </c>
      <c r="M23" s="395">
        <f t="shared" si="3"/>
        <v>0</v>
      </c>
      <c r="N23" s="415"/>
      <c r="O23" s="393">
        <v>1048.71551724138</v>
      </c>
      <c r="P23" s="393">
        <v>900</v>
      </c>
      <c r="Q23" s="393">
        <f t="shared" ref="Q23:Q30" si="8">ROUND((O23+P23)*0.09,2)</f>
        <v>175.38</v>
      </c>
      <c r="R23" s="393">
        <f t="shared" ref="R23:R30" si="9">P23+O23+Q23</f>
        <v>2124.0955172413801</v>
      </c>
      <c r="S23" s="370"/>
    </row>
    <row r="24" spans="1:19" ht="42" outlineLevel="1">
      <c r="A24" s="392" t="s">
        <v>1093</v>
      </c>
      <c r="B24" s="392" t="s">
        <v>1100</v>
      </c>
      <c r="C24" s="392" t="s">
        <v>1059</v>
      </c>
      <c r="D24" s="388" t="s">
        <v>1101</v>
      </c>
      <c r="E24" s="388" t="s">
        <v>1102</v>
      </c>
      <c r="F24" s="388" t="s">
        <v>1098</v>
      </c>
      <c r="G24" s="292" t="s">
        <v>1099</v>
      </c>
      <c r="H24" s="395"/>
      <c r="I24" s="395"/>
      <c r="J24" s="395">
        <f t="shared" si="0"/>
        <v>0</v>
      </c>
      <c r="K24" s="395">
        <f t="shared" si="1"/>
        <v>0</v>
      </c>
      <c r="L24" s="395">
        <f t="shared" si="2"/>
        <v>0</v>
      </c>
      <c r="M24" s="395">
        <f t="shared" si="3"/>
        <v>0</v>
      </c>
      <c r="N24" s="415"/>
      <c r="O24" s="393">
        <v>810.258620689655</v>
      </c>
      <c r="P24" s="393">
        <v>900</v>
      </c>
      <c r="Q24" s="393">
        <f t="shared" si="8"/>
        <v>153.91999999999999</v>
      </c>
      <c r="R24" s="393">
        <f t="shared" si="9"/>
        <v>1864.178620689655</v>
      </c>
      <c r="S24" s="370"/>
    </row>
    <row r="25" spans="1:19" ht="42" outlineLevel="1">
      <c r="A25" s="392" t="s">
        <v>1093</v>
      </c>
      <c r="B25" s="392" t="s">
        <v>1103</v>
      </c>
      <c r="C25" s="392" t="s">
        <v>1059</v>
      </c>
      <c r="D25" s="388" t="s">
        <v>1104</v>
      </c>
      <c r="E25" s="388" t="s">
        <v>1105</v>
      </c>
      <c r="F25" s="388" t="s">
        <v>1098</v>
      </c>
      <c r="G25" s="292" t="s">
        <v>1099</v>
      </c>
      <c r="H25" s="395"/>
      <c r="I25" s="395"/>
      <c r="J25" s="395">
        <f t="shared" si="0"/>
        <v>0</v>
      </c>
      <c r="K25" s="395">
        <f t="shared" si="1"/>
        <v>0</v>
      </c>
      <c r="L25" s="395">
        <f t="shared" si="2"/>
        <v>0</v>
      </c>
      <c r="M25" s="395">
        <f t="shared" si="3"/>
        <v>0</v>
      </c>
      <c r="N25" s="415"/>
      <c r="O25" s="393">
        <v>753.84482758620697</v>
      </c>
      <c r="P25" s="393">
        <v>900</v>
      </c>
      <c r="Q25" s="393">
        <f t="shared" si="8"/>
        <v>148.85</v>
      </c>
      <c r="R25" s="393">
        <f t="shared" si="9"/>
        <v>1802.6948275862069</v>
      </c>
      <c r="S25" s="370"/>
    </row>
    <row r="26" spans="1:19" ht="42" outlineLevel="1">
      <c r="A26" s="392" t="s">
        <v>1093</v>
      </c>
      <c r="B26" s="392" t="s">
        <v>1106</v>
      </c>
      <c r="C26" s="392" t="s">
        <v>1059</v>
      </c>
      <c r="D26" s="388" t="s">
        <v>1107</v>
      </c>
      <c r="E26" s="388" t="s">
        <v>1108</v>
      </c>
      <c r="F26" s="388" t="s">
        <v>1098</v>
      </c>
      <c r="G26" s="292" t="s">
        <v>1099</v>
      </c>
      <c r="H26" s="395"/>
      <c r="I26" s="395"/>
      <c r="J26" s="395">
        <f t="shared" si="0"/>
        <v>0</v>
      </c>
      <c r="K26" s="395">
        <f t="shared" si="1"/>
        <v>0</v>
      </c>
      <c r="L26" s="395">
        <f t="shared" si="2"/>
        <v>0</v>
      </c>
      <c r="M26" s="395">
        <f t="shared" si="3"/>
        <v>0</v>
      </c>
      <c r="N26" s="415"/>
      <c r="O26" s="393">
        <v>1044.44827586207</v>
      </c>
      <c r="P26" s="393">
        <v>900</v>
      </c>
      <c r="Q26" s="393">
        <f t="shared" si="8"/>
        <v>175</v>
      </c>
      <c r="R26" s="393">
        <f t="shared" si="9"/>
        <v>2119.4482758620697</v>
      </c>
      <c r="S26" s="370"/>
    </row>
    <row r="27" spans="1:19" ht="42" outlineLevel="1">
      <c r="A27" s="392" t="s">
        <v>1093</v>
      </c>
      <c r="B27" s="392" t="s">
        <v>1109</v>
      </c>
      <c r="C27" s="392" t="s">
        <v>1059</v>
      </c>
      <c r="D27" s="388" t="s">
        <v>1110</v>
      </c>
      <c r="E27" s="388" t="s">
        <v>1111</v>
      </c>
      <c r="F27" s="388" t="s">
        <v>1098</v>
      </c>
      <c r="G27" s="292" t="s">
        <v>1099</v>
      </c>
      <c r="H27" s="395"/>
      <c r="I27" s="395"/>
      <c r="J27" s="395">
        <f t="shared" si="0"/>
        <v>0</v>
      </c>
      <c r="K27" s="395">
        <f t="shared" si="1"/>
        <v>0</v>
      </c>
      <c r="L27" s="395">
        <f t="shared" si="2"/>
        <v>0</v>
      </c>
      <c r="M27" s="395">
        <f t="shared" si="3"/>
        <v>0</v>
      </c>
      <c r="N27" s="415"/>
      <c r="O27" s="393">
        <v>1266.66379310345</v>
      </c>
      <c r="P27" s="393">
        <v>900</v>
      </c>
      <c r="Q27" s="393">
        <f t="shared" si="8"/>
        <v>195</v>
      </c>
      <c r="R27" s="393">
        <f t="shared" si="9"/>
        <v>2361.6637931034502</v>
      </c>
      <c r="S27" s="370"/>
    </row>
    <row r="28" spans="1:19" ht="42" outlineLevel="1">
      <c r="A28" s="392" t="s">
        <v>1093</v>
      </c>
      <c r="B28" s="392" t="s">
        <v>1112</v>
      </c>
      <c r="C28" s="392" t="s">
        <v>1059</v>
      </c>
      <c r="D28" s="388" t="s">
        <v>1113</v>
      </c>
      <c r="E28" s="388" t="s">
        <v>1114</v>
      </c>
      <c r="F28" s="388" t="s">
        <v>1098</v>
      </c>
      <c r="G28" s="292" t="s">
        <v>1099</v>
      </c>
      <c r="H28" s="395"/>
      <c r="I28" s="395"/>
      <c r="J28" s="395">
        <f t="shared" si="0"/>
        <v>0</v>
      </c>
      <c r="K28" s="395">
        <f t="shared" si="1"/>
        <v>0</v>
      </c>
      <c r="L28" s="395">
        <f t="shared" si="2"/>
        <v>0</v>
      </c>
      <c r="M28" s="395">
        <f t="shared" si="3"/>
        <v>0</v>
      </c>
      <c r="N28" s="415"/>
      <c r="O28" s="393">
        <v>810.258620689655</v>
      </c>
      <c r="P28" s="393">
        <v>900</v>
      </c>
      <c r="Q28" s="393">
        <f t="shared" si="8"/>
        <v>153.91999999999999</v>
      </c>
      <c r="R28" s="393">
        <f t="shared" si="9"/>
        <v>1864.178620689655</v>
      </c>
      <c r="S28" s="370"/>
    </row>
    <row r="29" spans="1:19" ht="42" outlineLevel="1">
      <c r="A29" s="392" t="s">
        <v>1093</v>
      </c>
      <c r="B29" s="392" t="s">
        <v>1115</v>
      </c>
      <c r="C29" s="392" t="s">
        <v>1059</v>
      </c>
      <c r="D29" s="388" t="s">
        <v>1116</v>
      </c>
      <c r="E29" s="388" t="s">
        <v>1117</v>
      </c>
      <c r="F29" s="388" t="s">
        <v>1098</v>
      </c>
      <c r="G29" s="292" t="s">
        <v>1099</v>
      </c>
      <c r="H29" s="395"/>
      <c r="I29" s="395">
        <v>10</v>
      </c>
      <c r="J29" s="395">
        <f t="shared" si="0"/>
        <v>0</v>
      </c>
      <c r="K29" s="395">
        <f t="shared" si="1"/>
        <v>0</v>
      </c>
      <c r="L29" s="395">
        <f t="shared" si="2"/>
        <v>23980</v>
      </c>
      <c r="M29" s="395">
        <f t="shared" si="3"/>
        <v>23980</v>
      </c>
      <c r="N29" s="415"/>
      <c r="O29" s="393">
        <v>1300</v>
      </c>
      <c r="P29" s="393">
        <v>900</v>
      </c>
      <c r="Q29" s="393">
        <f t="shared" si="8"/>
        <v>198</v>
      </c>
      <c r="R29" s="393">
        <f t="shared" si="9"/>
        <v>2398</v>
      </c>
      <c r="S29" s="370"/>
    </row>
    <row r="30" spans="1:19" ht="42" outlineLevel="1">
      <c r="A30" s="392" t="s">
        <v>1093</v>
      </c>
      <c r="B30" s="392" t="s">
        <v>1118</v>
      </c>
      <c r="C30" s="392" t="s">
        <v>1059</v>
      </c>
      <c r="D30" s="388" t="s">
        <v>1119</v>
      </c>
      <c r="E30" s="388" t="s">
        <v>1120</v>
      </c>
      <c r="F30" s="388" t="s">
        <v>1098</v>
      </c>
      <c r="G30" s="292" t="s">
        <v>1099</v>
      </c>
      <c r="H30" s="395"/>
      <c r="I30" s="395"/>
      <c r="J30" s="395">
        <f t="shared" si="0"/>
        <v>0</v>
      </c>
      <c r="K30" s="395">
        <f t="shared" si="1"/>
        <v>0</v>
      </c>
      <c r="L30" s="395">
        <f t="shared" si="2"/>
        <v>0</v>
      </c>
      <c r="M30" s="395">
        <f t="shared" si="3"/>
        <v>0</v>
      </c>
      <c r="N30" s="415"/>
      <c r="O30" s="393">
        <v>1790.51724137931</v>
      </c>
      <c r="P30" s="393">
        <v>900</v>
      </c>
      <c r="Q30" s="393">
        <f t="shared" si="8"/>
        <v>242.15</v>
      </c>
      <c r="R30" s="393">
        <f t="shared" si="9"/>
        <v>2932.6672413793099</v>
      </c>
      <c r="S30" s="370"/>
    </row>
    <row r="31" spans="1:19">
      <c r="A31" s="392" t="s">
        <v>1052</v>
      </c>
      <c r="B31" s="392" t="s">
        <v>1121</v>
      </c>
      <c r="C31" s="392" t="s">
        <v>1056</v>
      </c>
      <c r="D31" s="394" t="s">
        <v>1122</v>
      </c>
      <c r="E31" s="248"/>
      <c r="F31" s="248"/>
      <c r="G31" s="370"/>
      <c r="H31" s="395"/>
      <c r="I31" s="395"/>
      <c r="J31" s="395"/>
      <c r="K31" s="395"/>
      <c r="L31" s="395"/>
      <c r="M31" s="395"/>
      <c r="N31" s="416"/>
      <c r="O31" s="393"/>
      <c r="P31" s="393"/>
      <c r="Q31" s="393"/>
      <c r="R31" s="395"/>
      <c r="S31" s="370"/>
    </row>
    <row r="32" spans="1:19" ht="21" outlineLevel="1">
      <c r="A32" s="392" t="s">
        <v>1121</v>
      </c>
      <c r="B32" s="392" t="s">
        <v>1123</v>
      </c>
      <c r="C32" s="392" t="s">
        <v>1059</v>
      </c>
      <c r="D32" s="248" t="s">
        <v>1124</v>
      </c>
      <c r="E32" s="248" t="s">
        <v>1125</v>
      </c>
      <c r="F32" s="248" t="s">
        <v>1126</v>
      </c>
      <c r="G32" s="370" t="s">
        <v>524</v>
      </c>
      <c r="H32" s="395"/>
      <c r="I32" s="395"/>
      <c r="J32" s="395">
        <f t="shared" si="0"/>
        <v>0</v>
      </c>
      <c r="K32" s="395">
        <f t="shared" si="1"/>
        <v>0</v>
      </c>
      <c r="L32" s="395">
        <f t="shared" si="2"/>
        <v>0</v>
      </c>
      <c r="M32" s="395">
        <f t="shared" si="3"/>
        <v>0</v>
      </c>
      <c r="N32" s="415"/>
      <c r="O32" s="393">
        <v>11.1524827586207</v>
      </c>
      <c r="P32" s="393">
        <v>100</v>
      </c>
      <c r="Q32" s="393">
        <f t="shared" ref="Q32:Q44" si="10">ROUND((O32+P32)*0.09,2)</f>
        <v>10</v>
      </c>
      <c r="R32" s="393">
        <f t="shared" ref="R32:R44" si="11">P32+O32+Q32</f>
        <v>121.15248275862069</v>
      </c>
      <c r="S32" s="370"/>
    </row>
    <row r="33" spans="1:19" ht="21" outlineLevel="1">
      <c r="A33" s="392" t="s">
        <v>1121</v>
      </c>
      <c r="B33" s="392" t="s">
        <v>1127</v>
      </c>
      <c r="C33" s="392" t="s">
        <v>1059</v>
      </c>
      <c r="D33" s="248" t="s">
        <v>1124</v>
      </c>
      <c r="E33" s="248" t="s">
        <v>1128</v>
      </c>
      <c r="F33" s="248" t="s">
        <v>1126</v>
      </c>
      <c r="G33" s="370" t="s">
        <v>524</v>
      </c>
      <c r="H33" s="395"/>
      <c r="I33" s="395">
        <v>5</v>
      </c>
      <c r="J33" s="395">
        <f t="shared" si="0"/>
        <v>0</v>
      </c>
      <c r="K33" s="395">
        <f t="shared" si="1"/>
        <v>0</v>
      </c>
      <c r="L33" s="395">
        <f t="shared" si="2"/>
        <v>737.19568965517237</v>
      </c>
      <c r="M33" s="395">
        <f t="shared" si="3"/>
        <v>737.19568965517237</v>
      </c>
      <c r="N33" s="415"/>
      <c r="O33" s="393">
        <v>15.2691379310345</v>
      </c>
      <c r="P33" s="393">
        <v>120</v>
      </c>
      <c r="Q33" s="393">
        <f t="shared" si="10"/>
        <v>12.17</v>
      </c>
      <c r="R33" s="393">
        <f t="shared" si="11"/>
        <v>147.43913793103448</v>
      </c>
      <c r="S33" s="370"/>
    </row>
    <row r="34" spans="1:19" ht="21" outlineLevel="1">
      <c r="A34" s="392" t="s">
        <v>1121</v>
      </c>
      <c r="B34" s="392" t="s">
        <v>1129</v>
      </c>
      <c r="C34" s="392" t="s">
        <v>1059</v>
      </c>
      <c r="D34" s="248" t="s">
        <v>1124</v>
      </c>
      <c r="E34" s="248" t="s">
        <v>1032</v>
      </c>
      <c r="F34" s="248" t="s">
        <v>1126</v>
      </c>
      <c r="G34" s="370" t="s">
        <v>524</v>
      </c>
      <c r="H34" s="395">
        <f>13+5+186</f>
        <v>204</v>
      </c>
      <c r="I34" s="395">
        <v>3</v>
      </c>
      <c r="J34" s="395">
        <f t="shared" si="0"/>
        <v>41103.436810344829</v>
      </c>
      <c r="K34" s="395">
        <f t="shared" si="1"/>
        <v>41103.436810344829</v>
      </c>
      <c r="L34" s="395">
        <f t="shared" si="2"/>
        <v>604.46230603448271</v>
      </c>
      <c r="M34" s="395">
        <f t="shared" si="3"/>
        <v>604.46230603448271</v>
      </c>
      <c r="N34" s="415"/>
      <c r="O34" s="393">
        <v>24.847435344827598</v>
      </c>
      <c r="P34" s="393">
        <v>160</v>
      </c>
      <c r="Q34" s="393">
        <f t="shared" si="10"/>
        <v>16.64</v>
      </c>
      <c r="R34" s="393">
        <f t="shared" si="11"/>
        <v>201.48743534482759</v>
      </c>
      <c r="S34" s="370"/>
    </row>
    <row r="35" spans="1:19" ht="21" outlineLevel="1">
      <c r="A35" s="392" t="s">
        <v>1121</v>
      </c>
      <c r="B35" s="392" t="s">
        <v>1130</v>
      </c>
      <c r="C35" s="392" t="s">
        <v>1059</v>
      </c>
      <c r="D35" s="248" t="s">
        <v>1124</v>
      </c>
      <c r="E35" s="248" t="s">
        <v>1033</v>
      </c>
      <c r="F35" s="248" t="s">
        <v>1126</v>
      </c>
      <c r="G35" s="370" t="s">
        <v>524</v>
      </c>
      <c r="H35" s="395">
        <v>72</v>
      </c>
      <c r="I35" s="395">
        <f>3+2</f>
        <v>5</v>
      </c>
      <c r="J35" s="395">
        <f t="shared" si="0"/>
        <v>17413.502896551723</v>
      </c>
      <c r="K35" s="395">
        <f t="shared" si="1"/>
        <v>17413.502896551723</v>
      </c>
      <c r="L35" s="395">
        <f t="shared" si="2"/>
        <v>1209.2710344827585</v>
      </c>
      <c r="M35" s="395">
        <f t="shared" si="3"/>
        <v>1209.2710344827585</v>
      </c>
      <c r="N35" s="415"/>
      <c r="O35" s="393">
        <v>41.884206896551703</v>
      </c>
      <c r="P35" s="393">
        <v>180</v>
      </c>
      <c r="Q35" s="393">
        <f t="shared" si="10"/>
        <v>19.97</v>
      </c>
      <c r="R35" s="393">
        <f t="shared" si="11"/>
        <v>241.85420689655169</v>
      </c>
      <c r="S35" s="370"/>
    </row>
    <row r="36" spans="1:19" ht="21" outlineLevel="1">
      <c r="A36" s="392" t="s">
        <v>1121</v>
      </c>
      <c r="B36" s="392" t="s">
        <v>1131</v>
      </c>
      <c r="C36" s="392" t="s">
        <v>1059</v>
      </c>
      <c r="D36" s="248" t="s">
        <v>1124</v>
      </c>
      <c r="E36" s="248" t="s">
        <v>1034</v>
      </c>
      <c r="F36" s="248" t="s">
        <v>1126</v>
      </c>
      <c r="G36" s="370" t="s">
        <v>524</v>
      </c>
      <c r="H36" s="395"/>
      <c r="I36" s="395">
        <v>5</v>
      </c>
      <c r="J36" s="395">
        <f t="shared" si="0"/>
        <v>0</v>
      </c>
      <c r="K36" s="395">
        <f t="shared" si="1"/>
        <v>0</v>
      </c>
      <c r="L36" s="395">
        <f t="shared" si="2"/>
        <v>1495.7442672413795</v>
      </c>
      <c r="M36" s="395">
        <f t="shared" si="3"/>
        <v>1495.7442672413795</v>
      </c>
      <c r="N36" s="415"/>
      <c r="O36" s="393">
        <v>74.448853448275898</v>
      </c>
      <c r="P36" s="393">
        <v>200</v>
      </c>
      <c r="Q36" s="393">
        <f t="shared" si="10"/>
        <v>24.7</v>
      </c>
      <c r="R36" s="393">
        <f t="shared" si="11"/>
        <v>299.14885344827587</v>
      </c>
      <c r="S36" s="370"/>
    </row>
    <row r="37" spans="1:19" ht="21" outlineLevel="1">
      <c r="A37" s="392" t="s">
        <v>1121</v>
      </c>
      <c r="B37" s="392" t="s">
        <v>1132</v>
      </c>
      <c r="C37" s="392" t="s">
        <v>1059</v>
      </c>
      <c r="D37" s="388" t="s">
        <v>1133</v>
      </c>
      <c r="E37" s="388" t="s">
        <v>1134</v>
      </c>
      <c r="F37" s="248" t="s">
        <v>1126</v>
      </c>
      <c r="G37" s="292" t="s">
        <v>524</v>
      </c>
      <c r="H37" s="395"/>
      <c r="I37" s="395"/>
      <c r="J37" s="395">
        <f t="shared" si="0"/>
        <v>0</v>
      </c>
      <c r="K37" s="395">
        <f t="shared" si="1"/>
        <v>0</v>
      </c>
      <c r="L37" s="395">
        <f t="shared" si="2"/>
        <v>0</v>
      </c>
      <c r="M37" s="395">
        <f t="shared" si="3"/>
        <v>0</v>
      </c>
      <c r="N37" s="415"/>
      <c r="O37" s="393">
        <f>3.13*5*0.3</f>
        <v>4.6950000000000003</v>
      </c>
      <c r="P37" s="393">
        <v>25</v>
      </c>
      <c r="Q37" s="393">
        <f t="shared" si="10"/>
        <v>2.67</v>
      </c>
      <c r="R37" s="393">
        <f t="shared" si="11"/>
        <v>32.365000000000002</v>
      </c>
      <c r="S37" s="370" t="s">
        <v>1135</v>
      </c>
    </row>
    <row r="38" spans="1:19" ht="21" outlineLevel="1">
      <c r="A38" s="392" t="s">
        <v>1121</v>
      </c>
      <c r="B38" s="392" t="s">
        <v>1136</v>
      </c>
      <c r="C38" s="392" t="s">
        <v>1059</v>
      </c>
      <c r="D38" s="388" t="s">
        <v>1133</v>
      </c>
      <c r="E38" s="388" t="s">
        <v>1084</v>
      </c>
      <c r="F38" s="248" t="s">
        <v>1126</v>
      </c>
      <c r="G38" s="292" t="s">
        <v>524</v>
      </c>
      <c r="H38" s="395">
        <v>8130</v>
      </c>
      <c r="I38" s="395"/>
      <c r="J38" s="395">
        <f t="shared" si="0"/>
        <v>364087.19172413787</v>
      </c>
      <c r="K38" s="395">
        <f t="shared" si="1"/>
        <v>364087.19172413787</v>
      </c>
      <c r="L38" s="395">
        <f t="shared" si="2"/>
        <v>0</v>
      </c>
      <c r="M38" s="395">
        <f t="shared" si="3"/>
        <v>0</v>
      </c>
      <c r="N38" s="415"/>
      <c r="O38" s="393">
        <v>6.0831724137930898</v>
      </c>
      <c r="P38" s="393">
        <v>35</v>
      </c>
      <c r="Q38" s="393">
        <f t="shared" si="10"/>
        <v>3.7</v>
      </c>
      <c r="R38" s="393">
        <f t="shared" si="11"/>
        <v>44.783172413793096</v>
      </c>
      <c r="S38" s="370" t="s">
        <v>1135</v>
      </c>
    </row>
    <row r="39" spans="1:19" ht="21" outlineLevel="1">
      <c r="A39" s="392" t="s">
        <v>1121</v>
      </c>
      <c r="B39" s="392" t="s">
        <v>1137</v>
      </c>
      <c r="C39" s="392" t="s">
        <v>1059</v>
      </c>
      <c r="D39" s="388" t="s">
        <v>1133</v>
      </c>
      <c r="E39" s="388" t="s">
        <v>1088</v>
      </c>
      <c r="F39" s="248" t="s">
        <v>1126</v>
      </c>
      <c r="G39" s="292" t="s">
        <v>524</v>
      </c>
      <c r="H39" s="395">
        <f>25+1471</f>
        <v>1496</v>
      </c>
      <c r="I39" s="395"/>
      <c r="J39" s="395">
        <f t="shared" si="0"/>
        <v>78807.216551724123</v>
      </c>
      <c r="K39" s="395">
        <f t="shared" si="1"/>
        <v>78807.216551724123</v>
      </c>
      <c r="L39" s="395">
        <f t="shared" si="2"/>
        <v>0</v>
      </c>
      <c r="M39" s="395">
        <f t="shared" si="3"/>
        <v>0</v>
      </c>
      <c r="N39" s="415"/>
      <c r="O39" s="393">
        <v>8.3286206896551604</v>
      </c>
      <c r="P39" s="393">
        <v>40</v>
      </c>
      <c r="Q39" s="393">
        <f t="shared" si="10"/>
        <v>4.3499999999999996</v>
      </c>
      <c r="R39" s="393">
        <f t="shared" si="11"/>
        <v>52.678620689655162</v>
      </c>
      <c r="S39" s="370" t="s">
        <v>1135</v>
      </c>
    </row>
    <row r="40" spans="1:19" ht="21" outlineLevel="1">
      <c r="A40" s="392" t="s">
        <v>1121</v>
      </c>
      <c r="B40" s="392" t="s">
        <v>1138</v>
      </c>
      <c r="C40" s="392" t="s">
        <v>1059</v>
      </c>
      <c r="D40" s="388" t="s">
        <v>1133</v>
      </c>
      <c r="E40" s="388" t="s">
        <v>1032</v>
      </c>
      <c r="F40" s="248" t="s">
        <v>1126</v>
      </c>
      <c r="G40" s="292" t="s">
        <v>524</v>
      </c>
      <c r="H40" s="395">
        <f>9+895+132+1280</f>
        <v>2316</v>
      </c>
      <c r="I40" s="395">
        <v>2</v>
      </c>
      <c r="J40" s="395">
        <f t="shared" si="0"/>
        <v>185681.00741379301</v>
      </c>
      <c r="K40" s="395">
        <f t="shared" si="1"/>
        <v>185681.00741379301</v>
      </c>
      <c r="L40" s="395">
        <f t="shared" si="2"/>
        <v>160.3462931034482</v>
      </c>
      <c r="M40" s="395">
        <f t="shared" si="3"/>
        <v>160.3462931034482</v>
      </c>
      <c r="N40" s="415"/>
      <c r="O40" s="393">
        <v>13.553146551724099</v>
      </c>
      <c r="P40" s="393">
        <v>60</v>
      </c>
      <c r="Q40" s="393">
        <f t="shared" si="10"/>
        <v>6.62</v>
      </c>
      <c r="R40" s="393">
        <f t="shared" si="11"/>
        <v>80.173146551724102</v>
      </c>
      <c r="S40" s="370" t="s">
        <v>1135</v>
      </c>
    </row>
    <row r="41" spans="1:19" ht="21" outlineLevel="1">
      <c r="A41" s="392" t="s">
        <v>1121</v>
      </c>
      <c r="B41" s="392" t="s">
        <v>1139</v>
      </c>
      <c r="C41" s="392" t="s">
        <v>1059</v>
      </c>
      <c r="D41" s="388" t="s">
        <v>1133</v>
      </c>
      <c r="E41" s="388" t="s">
        <v>1140</v>
      </c>
      <c r="F41" s="248" t="s">
        <v>1126</v>
      </c>
      <c r="G41" s="292" t="s">
        <v>524</v>
      </c>
      <c r="H41" s="395">
        <f>14+93+80</f>
        <v>187</v>
      </c>
      <c r="I41" s="395">
        <v>5</v>
      </c>
      <c r="J41" s="395">
        <f t="shared" si="0"/>
        <v>17112.444800000001</v>
      </c>
      <c r="K41" s="395">
        <f t="shared" si="1"/>
        <v>17112.444800000001</v>
      </c>
      <c r="L41" s="395">
        <f t="shared" si="2"/>
        <v>457.55200000000002</v>
      </c>
      <c r="M41" s="395">
        <f t="shared" si="3"/>
        <v>457.55200000000002</v>
      </c>
      <c r="N41" s="415"/>
      <c r="O41" s="393">
        <f>15.04*4.2*0.3</f>
        <v>18.950399999999998</v>
      </c>
      <c r="P41" s="393">
        <v>65</v>
      </c>
      <c r="Q41" s="393">
        <f t="shared" si="10"/>
        <v>7.56</v>
      </c>
      <c r="R41" s="393">
        <f t="shared" si="11"/>
        <v>91.510400000000004</v>
      </c>
      <c r="S41" s="370" t="s">
        <v>1135</v>
      </c>
    </row>
    <row r="42" spans="1:19" ht="21" outlineLevel="1">
      <c r="A42" s="392" t="s">
        <v>1121</v>
      </c>
      <c r="B42" s="392" t="s">
        <v>1141</v>
      </c>
      <c r="C42" s="392" t="s">
        <v>1059</v>
      </c>
      <c r="D42" s="388" t="s">
        <v>1142</v>
      </c>
      <c r="E42" s="388" t="s">
        <v>1032</v>
      </c>
      <c r="F42" s="248" t="s">
        <v>1126</v>
      </c>
      <c r="G42" s="292" t="s">
        <v>524</v>
      </c>
      <c r="H42" s="395"/>
      <c r="I42" s="395"/>
      <c r="J42" s="395">
        <f t="shared" si="0"/>
        <v>0</v>
      </c>
      <c r="K42" s="395">
        <f t="shared" si="1"/>
        <v>0</v>
      </c>
      <c r="L42" s="395">
        <f t="shared" si="2"/>
        <v>0</v>
      </c>
      <c r="M42" s="395">
        <f t="shared" si="3"/>
        <v>0</v>
      </c>
      <c r="N42" s="415"/>
      <c r="O42" s="393">
        <f>O34*7</f>
        <v>173.93204741379319</v>
      </c>
      <c r="P42" s="393">
        <f t="shared" ref="P42:P44" si="12">P34</f>
        <v>160</v>
      </c>
      <c r="Q42" s="393">
        <f t="shared" si="10"/>
        <v>30.05</v>
      </c>
      <c r="R42" s="393">
        <f t="shared" si="11"/>
        <v>363.98204741379317</v>
      </c>
      <c r="S42" s="370"/>
    </row>
    <row r="43" spans="1:19" ht="21" outlineLevel="1">
      <c r="A43" s="392" t="s">
        <v>1121</v>
      </c>
      <c r="B43" s="392" t="s">
        <v>1143</v>
      </c>
      <c r="C43" s="392" t="s">
        <v>1059</v>
      </c>
      <c r="D43" s="388" t="s">
        <v>1142</v>
      </c>
      <c r="E43" s="388" t="s">
        <v>1033</v>
      </c>
      <c r="F43" s="248" t="s">
        <v>1126</v>
      </c>
      <c r="G43" s="292" t="s">
        <v>524</v>
      </c>
      <c r="H43" s="395"/>
      <c r="I43" s="395"/>
      <c r="J43" s="395">
        <f t="shared" si="0"/>
        <v>0</v>
      </c>
      <c r="K43" s="395">
        <f t="shared" si="1"/>
        <v>0</v>
      </c>
      <c r="L43" s="395">
        <f t="shared" si="2"/>
        <v>0</v>
      </c>
      <c r="M43" s="395">
        <f t="shared" si="3"/>
        <v>0</v>
      </c>
      <c r="N43" s="415"/>
      <c r="O43" s="393">
        <f>O35*7</f>
        <v>293.18944827586193</v>
      </c>
      <c r="P43" s="393">
        <f t="shared" si="12"/>
        <v>180</v>
      </c>
      <c r="Q43" s="393">
        <f t="shared" si="10"/>
        <v>42.59</v>
      </c>
      <c r="R43" s="393">
        <f t="shared" si="11"/>
        <v>515.77944827586191</v>
      </c>
      <c r="S43" s="370"/>
    </row>
    <row r="44" spans="1:19" ht="21" outlineLevel="1">
      <c r="A44" s="392" t="s">
        <v>1121</v>
      </c>
      <c r="B44" s="392" t="s">
        <v>1144</v>
      </c>
      <c r="C44" s="392" t="s">
        <v>1059</v>
      </c>
      <c r="D44" s="388" t="s">
        <v>1142</v>
      </c>
      <c r="E44" s="388" t="s">
        <v>1034</v>
      </c>
      <c r="F44" s="248" t="s">
        <v>1126</v>
      </c>
      <c r="G44" s="292" t="s">
        <v>524</v>
      </c>
      <c r="H44" s="395"/>
      <c r="I44" s="395"/>
      <c r="J44" s="395">
        <f t="shared" si="0"/>
        <v>0</v>
      </c>
      <c r="K44" s="395">
        <f t="shared" si="1"/>
        <v>0</v>
      </c>
      <c r="L44" s="395">
        <f t="shared" si="2"/>
        <v>0</v>
      </c>
      <c r="M44" s="395">
        <f t="shared" si="3"/>
        <v>0</v>
      </c>
      <c r="N44" s="415"/>
      <c r="O44" s="393">
        <v>320</v>
      </c>
      <c r="P44" s="393">
        <f t="shared" si="12"/>
        <v>200</v>
      </c>
      <c r="Q44" s="393">
        <f t="shared" si="10"/>
        <v>46.8</v>
      </c>
      <c r="R44" s="393">
        <f t="shared" si="11"/>
        <v>566.79999999999995</v>
      </c>
      <c r="S44" s="370"/>
    </row>
    <row r="45" spans="1:19">
      <c r="A45" s="392" t="s">
        <v>1052</v>
      </c>
      <c r="B45" s="392" t="s">
        <v>1145</v>
      </c>
      <c r="C45" s="392" t="s">
        <v>1056</v>
      </c>
      <c r="D45" s="394" t="s">
        <v>1146</v>
      </c>
      <c r="E45" s="248"/>
      <c r="F45" s="248"/>
      <c r="G45" s="370"/>
      <c r="H45" s="395"/>
      <c r="I45" s="395"/>
      <c r="J45" s="395"/>
      <c r="K45" s="395"/>
      <c r="L45" s="395"/>
      <c r="M45" s="395"/>
      <c r="N45" s="416"/>
      <c r="O45" s="393"/>
      <c r="P45" s="393"/>
      <c r="Q45" s="393"/>
      <c r="R45" s="395"/>
      <c r="S45" s="370"/>
    </row>
    <row r="46" spans="1:19" ht="21" outlineLevel="1">
      <c r="A46" s="392" t="s">
        <v>1145</v>
      </c>
      <c r="B46" s="392" t="s">
        <v>1147</v>
      </c>
      <c r="C46" s="392" t="s">
        <v>1059</v>
      </c>
      <c r="D46" s="388" t="s">
        <v>1148</v>
      </c>
      <c r="E46" s="388" t="s">
        <v>1149</v>
      </c>
      <c r="F46" s="388" t="s">
        <v>1150</v>
      </c>
      <c r="G46" s="292" t="s">
        <v>524</v>
      </c>
      <c r="H46" s="395">
        <v>4</v>
      </c>
      <c r="I46" s="395">
        <v>1</v>
      </c>
      <c r="J46" s="395">
        <f t="shared" si="0"/>
        <v>234.53241379310361</v>
      </c>
      <c r="K46" s="395">
        <f t="shared" si="1"/>
        <v>234.53241379310361</v>
      </c>
      <c r="L46" s="395">
        <f t="shared" si="2"/>
        <v>58.633103448275904</v>
      </c>
      <c r="M46" s="395">
        <f t="shared" si="3"/>
        <v>58.633103448275904</v>
      </c>
      <c r="N46" s="415"/>
      <c r="O46" s="393">
        <v>38.7931034482759</v>
      </c>
      <c r="P46" s="393">
        <v>15</v>
      </c>
      <c r="Q46" s="393">
        <f t="shared" ref="Q46:Q60" si="13">ROUND((O46+P46)*0.09,2)</f>
        <v>4.84</v>
      </c>
      <c r="R46" s="393">
        <f t="shared" ref="R46:R60" si="14">P46+O46+Q46</f>
        <v>58.633103448275904</v>
      </c>
      <c r="S46" s="370"/>
    </row>
    <row r="47" spans="1:19" ht="21" outlineLevel="1">
      <c r="A47" s="392" t="s">
        <v>1145</v>
      </c>
      <c r="B47" s="392" t="s">
        <v>1151</v>
      </c>
      <c r="C47" s="392">
        <v>3</v>
      </c>
      <c r="D47" s="388" t="s">
        <v>1152</v>
      </c>
      <c r="E47" s="388" t="s">
        <v>1153</v>
      </c>
      <c r="F47" s="388" t="s">
        <v>1150</v>
      </c>
      <c r="G47" s="292" t="s">
        <v>524</v>
      </c>
      <c r="H47" s="395">
        <v>1018</v>
      </c>
      <c r="I47" s="395">
        <v>3</v>
      </c>
      <c r="J47" s="395">
        <f t="shared" si="0"/>
        <v>46716.020000000004</v>
      </c>
      <c r="K47" s="395">
        <f t="shared" si="1"/>
        <v>46716.020000000004</v>
      </c>
      <c r="L47" s="395">
        <f t="shared" si="2"/>
        <v>137.67000000000002</v>
      </c>
      <c r="M47" s="395">
        <f t="shared" si="3"/>
        <v>137.67000000000002</v>
      </c>
      <c r="N47" s="417"/>
      <c r="O47" s="393">
        <v>30.1</v>
      </c>
      <c r="P47" s="393">
        <v>12</v>
      </c>
      <c r="Q47" s="393">
        <f t="shared" si="13"/>
        <v>3.79</v>
      </c>
      <c r="R47" s="393">
        <f t="shared" si="14"/>
        <v>45.89</v>
      </c>
      <c r="S47" s="370" t="s">
        <v>1154</v>
      </c>
    </row>
    <row r="48" spans="1:19" ht="21" outlineLevel="1">
      <c r="A48" s="392" t="s">
        <v>1145</v>
      </c>
      <c r="B48" s="392" t="s">
        <v>1155</v>
      </c>
      <c r="C48" s="392">
        <v>3</v>
      </c>
      <c r="D48" s="388" t="s">
        <v>1152</v>
      </c>
      <c r="E48" s="388" t="s">
        <v>1149</v>
      </c>
      <c r="F48" s="388" t="s">
        <v>1150</v>
      </c>
      <c r="G48" s="292" t="s">
        <v>524</v>
      </c>
      <c r="H48" s="395">
        <v>25</v>
      </c>
      <c r="I48" s="395">
        <v>2</v>
      </c>
      <c r="J48" s="395">
        <f t="shared" si="0"/>
        <v>1593.4999999999998</v>
      </c>
      <c r="K48" s="395">
        <f t="shared" si="1"/>
        <v>1593.4999999999998</v>
      </c>
      <c r="L48" s="395">
        <f t="shared" si="2"/>
        <v>127.47999999999999</v>
      </c>
      <c r="M48" s="395">
        <f t="shared" si="3"/>
        <v>127.47999999999999</v>
      </c>
      <c r="N48" s="417"/>
      <c r="O48" s="393">
        <v>43.48</v>
      </c>
      <c r="P48" s="393">
        <v>15</v>
      </c>
      <c r="Q48" s="393">
        <f t="shared" si="13"/>
        <v>5.26</v>
      </c>
      <c r="R48" s="393">
        <f t="shared" si="14"/>
        <v>63.739999999999995</v>
      </c>
      <c r="S48" s="370" t="s">
        <v>1154</v>
      </c>
    </row>
    <row r="49" spans="1:19" ht="21" outlineLevel="1">
      <c r="A49" s="392"/>
      <c r="B49" s="392"/>
      <c r="C49" s="392"/>
      <c r="D49" s="388" t="s">
        <v>1156</v>
      </c>
      <c r="E49" s="388" t="s">
        <v>1153</v>
      </c>
      <c r="F49" s="388" t="s">
        <v>1150</v>
      </c>
      <c r="G49" s="292" t="s">
        <v>524</v>
      </c>
      <c r="H49" s="395">
        <v>21</v>
      </c>
      <c r="I49" s="395">
        <v>5</v>
      </c>
      <c r="J49" s="395">
        <f t="shared" si="0"/>
        <v>1533.63</v>
      </c>
      <c r="K49" s="395">
        <f t="shared" si="1"/>
        <v>1533.63</v>
      </c>
      <c r="L49" s="395">
        <f t="shared" si="2"/>
        <v>365.15</v>
      </c>
      <c r="M49" s="395">
        <f t="shared" si="3"/>
        <v>365.15</v>
      </c>
      <c r="N49" s="417"/>
      <c r="O49" s="393">
        <v>55</v>
      </c>
      <c r="P49" s="393">
        <v>12</v>
      </c>
      <c r="Q49" s="393">
        <f t="shared" si="13"/>
        <v>6.03</v>
      </c>
      <c r="R49" s="393">
        <f t="shared" si="14"/>
        <v>73.03</v>
      </c>
      <c r="S49" s="370" t="s">
        <v>1154</v>
      </c>
    </row>
    <row r="50" spans="1:19" ht="21" outlineLevel="1">
      <c r="A50" s="392"/>
      <c r="B50" s="392"/>
      <c r="C50" s="392"/>
      <c r="D50" s="388" t="s">
        <v>1156</v>
      </c>
      <c r="E50" s="388" t="s">
        <v>1157</v>
      </c>
      <c r="F50" s="388" t="s">
        <v>1150</v>
      </c>
      <c r="G50" s="292" t="s">
        <v>524</v>
      </c>
      <c r="H50" s="395">
        <v>10</v>
      </c>
      <c r="I50" s="395">
        <v>1</v>
      </c>
      <c r="J50" s="395">
        <f t="shared" si="0"/>
        <v>1090</v>
      </c>
      <c r="K50" s="395">
        <f t="shared" si="1"/>
        <v>1090</v>
      </c>
      <c r="L50" s="395">
        <f t="shared" si="2"/>
        <v>109</v>
      </c>
      <c r="M50" s="395">
        <f t="shared" si="3"/>
        <v>109</v>
      </c>
      <c r="N50" s="417"/>
      <c r="O50" s="393">
        <v>85</v>
      </c>
      <c r="P50" s="393">
        <v>15</v>
      </c>
      <c r="Q50" s="393">
        <f t="shared" si="13"/>
        <v>9</v>
      </c>
      <c r="R50" s="393">
        <f t="shared" si="14"/>
        <v>109</v>
      </c>
      <c r="S50" s="370" t="s">
        <v>1154</v>
      </c>
    </row>
    <row r="51" spans="1:19" ht="21" outlineLevel="1">
      <c r="A51" s="392"/>
      <c r="B51" s="392"/>
      <c r="C51" s="392"/>
      <c r="D51" s="388" t="s">
        <v>1158</v>
      </c>
      <c r="E51" s="388" t="s">
        <v>1153</v>
      </c>
      <c r="F51" s="388" t="s">
        <v>1159</v>
      </c>
      <c r="G51" s="292" t="s">
        <v>524</v>
      </c>
      <c r="H51" s="395">
        <v>25</v>
      </c>
      <c r="I51" s="395">
        <v>2</v>
      </c>
      <c r="J51" s="395">
        <f t="shared" si="0"/>
        <v>538.25</v>
      </c>
      <c r="K51" s="395">
        <f t="shared" si="1"/>
        <v>538.25</v>
      </c>
      <c r="L51" s="395">
        <f t="shared" si="2"/>
        <v>43.06</v>
      </c>
      <c r="M51" s="395">
        <f t="shared" si="3"/>
        <v>43.06</v>
      </c>
      <c r="N51" s="417"/>
      <c r="O51" s="393">
        <v>4.75</v>
      </c>
      <c r="P51" s="393">
        <v>15</v>
      </c>
      <c r="Q51" s="393">
        <f t="shared" si="13"/>
        <v>1.78</v>
      </c>
      <c r="R51" s="393">
        <f t="shared" si="14"/>
        <v>21.53</v>
      </c>
      <c r="S51" s="370" t="s">
        <v>1154</v>
      </c>
    </row>
    <row r="52" spans="1:19" ht="63" outlineLevel="1">
      <c r="A52" s="392" t="s">
        <v>1145</v>
      </c>
      <c r="B52" s="392" t="s">
        <v>1160</v>
      </c>
      <c r="C52" s="392" t="s">
        <v>1059</v>
      </c>
      <c r="D52" s="248" t="s">
        <v>1161</v>
      </c>
      <c r="E52" s="248" t="s">
        <v>581</v>
      </c>
      <c r="F52" s="248" t="s">
        <v>1162</v>
      </c>
      <c r="G52" s="370" t="s">
        <v>1099</v>
      </c>
      <c r="H52" s="395">
        <v>4</v>
      </c>
      <c r="I52" s="395">
        <v>10</v>
      </c>
      <c r="J52" s="395">
        <f t="shared" si="0"/>
        <v>333.76689655172402</v>
      </c>
      <c r="K52" s="395">
        <f t="shared" si="1"/>
        <v>333.76689655172402</v>
      </c>
      <c r="L52" s="395">
        <f t="shared" si="2"/>
        <v>834.4172413793101</v>
      </c>
      <c r="M52" s="395">
        <f t="shared" si="3"/>
        <v>834.4172413793101</v>
      </c>
      <c r="N52" s="415"/>
      <c r="O52" s="393">
        <v>21.551724137931</v>
      </c>
      <c r="P52" s="393">
        <v>55</v>
      </c>
      <c r="Q52" s="393">
        <f t="shared" si="13"/>
        <v>6.89</v>
      </c>
      <c r="R52" s="393">
        <f t="shared" si="14"/>
        <v>83.441724137931004</v>
      </c>
      <c r="S52" s="370"/>
    </row>
    <row r="53" spans="1:19" ht="21" outlineLevel="1">
      <c r="A53" s="392" t="s">
        <v>1145</v>
      </c>
      <c r="B53" s="392" t="s">
        <v>1163</v>
      </c>
      <c r="C53" s="392" t="s">
        <v>1059</v>
      </c>
      <c r="D53" s="248" t="s">
        <v>1164</v>
      </c>
      <c r="E53" s="248" t="s">
        <v>1084</v>
      </c>
      <c r="F53" s="248" t="s">
        <v>1165</v>
      </c>
      <c r="G53" s="370" t="s">
        <v>524</v>
      </c>
      <c r="H53" s="395">
        <f>1020+132+631+496</f>
        <v>2279</v>
      </c>
      <c r="I53" s="395">
        <v>3</v>
      </c>
      <c r="J53" s="395">
        <f t="shared" si="0"/>
        <v>47276.676206896555</v>
      </c>
      <c r="K53" s="395">
        <f t="shared" si="1"/>
        <v>47276.676206896555</v>
      </c>
      <c r="L53" s="395">
        <f t="shared" si="2"/>
        <v>62.233448275862074</v>
      </c>
      <c r="M53" s="395">
        <f t="shared" si="3"/>
        <v>62.233448275862074</v>
      </c>
      <c r="N53" s="415"/>
      <c r="O53" s="393">
        <v>1.0344827586206899</v>
      </c>
      <c r="P53" s="393">
        <v>18</v>
      </c>
      <c r="Q53" s="393">
        <f t="shared" si="13"/>
        <v>1.71</v>
      </c>
      <c r="R53" s="393">
        <f t="shared" si="14"/>
        <v>20.744482758620691</v>
      </c>
      <c r="S53" s="370"/>
    </row>
    <row r="54" spans="1:19" ht="21" outlineLevel="1">
      <c r="A54" s="392" t="s">
        <v>1145</v>
      </c>
      <c r="B54" s="392" t="s">
        <v>1166</v>
      </c>
      <c r="C54" s="392" t="s">
        <v>1059</v>
      </c>
      <c r="D54" s="248" t="s">
        <v>1164</v>
      </c>
      <c r="E54" s="248" t="s">
        <v>1128</v>
      </c>
      <c r="F54" s="248" t="s">
        <v>1165</v>
      </c>
      <c r="G54" s="370" t="s">
        <v>524</v>
      </c>
      <c r="H54" s="395"/>
      <c r="I54" s="395">
        <v>5</v>
      </c>
      <c r="J54" s="395">
        <f t="shared" si="0"/>
        <v>0</v>
      </c>
      <c r="K54" s="395">
        <f t="shared" si="1"/>
        <v>0</v>
      </c>
      <c r="L54" s="395">
        <f t="shared" si="2"/>
        <v>135.11551724137931</v>
      </c>
      <c r="M54" s="395">
        <f t="shared" si="3"/>
        <v>135.11551724137931</v>
      </c>
      <c r="N54" s="415"/>
      <c r="O54" s="393">
        <v>1.2931034482758601</v>
      </c>
      <c r="P54" s="393">
        <v>23.5</v>
      </c>
      <c r="Q54" s="393">
        <f t="shared" si="13"/>
        <v>2.23</v>
      </c>
      <c r="R54" s="393">
        <f t="shared" si="14"/>
        <v>27.023103448275862</v>
      </c>
      <c r="S54" s="370"/>
    </row>
    <row r="55" spans="1:19" ht="21" outlineLevel="1">
      <c r="A55" s="392" t="s">
        <v>1145</v>
      </c>
      <c r="B55" s="392" t="s">
        <v>1167</v>
      </c>
      <c r="C55" s="392" t="s">
        <v>1059</v>
      </c>
      <c r="D55" s="248" t="s">
        <v>1164</v>
      </c>
      <c r="E55" s="248" t="s">
        <v>1032</v>
      </c>
      <c r="F55" s="248" t="s">
        <v>1165</v>
      </c>
      <c r="G55" s="370" t="s">
        <v>524</v>
      </c>
      <c r="H55" s="395"/>
      <c r="I55" s="395">
        <v>16</v>
      </c>
      <c r="J55" s="395">
        <f t="shared" si="0"/>
        <v>0</v>
      </c>
      <c r="K55" s="395">
        <f t="shared" si="1"/>
        <v>0</v>
      </c>
      <c r="L55" s="395">
        <f t="shared" si="2"/>
        <v>518.46620689655174</v>
      </c>
      <c r="M55" s="395">
        <f t="shared" si="3"/>
        <v>518.46620689655174</v>
      </c>
      <c r="N55" s="415"/>
      <c r="O55" s="393">
        <v>1.72413793103448</v>
      </c>
      <c r="P55" s="393">
        <v>28</v>
      </c>
      <c r="Q55" s="393">
        <f t="shared" si="13"/>
        <v>2.68</v>
      </c>
      <c r="R55" s="393">
        <f t="shared" si="14"/>
        <v>32.404137931034484</v>
      </c>
      <c r="S55" s="370"/>
    </row>
    <row r="56" spans="1:19" ht="21" outlineLevel="1">
      <c r="A56" s="392" t="s">
        <v>1145</v>
      </c>
      <c r="B56" s="392" t="s">
        <v>1168</v>
      </c>
      <c r="C56" s="392" t="s">
        <v>1059</v>
      </c>
      <c r="D56" s="388" t="s">
        <v>1169</v>
      </c>
      <c r="E56" s="388" t="s">
        <v>1084</v>
      </c>
      <c r="F56" s="248" t="s">
        <v>1165</v>
      </c>
      <c r="G56" s="292" t="s">
        <v>524</v>
      </c>
      <c r="H56" s="395">
        <f>1246+738</f>
        <v>1984</v>
      </c>
      <c r="I56" s="395"/>
      <c r="J56" s="395">
        <f t="shared" si="0"/>
        <v>30951.08413793104</v>
      </c>
      <c r="K56" s="395">
        <f t="shared" si="1"/>
        <v>30951.08413793104</v>
      </c>
      <c r="L56" s="395">
        <f t="shared" si="2"/>
        <v>0</v>
      </c>
      <c r="M56" s="395">
        <f t="shared" si="3"/>
        <v>0</v>
      </c>
      <c r="N56" s="415"/>
      <c r="O56" s="393">
        <v>4.31034482758621</v>
      </c>
      <c r="P56" s="393">
        <v>10</v>
      </c>
      <c r="Q56" s="393">
        <f t="shared" si="13"/>
        <v>1.29</v>
      </c>
      <c r="R56" s="393">
        <f t="shared" si="14"/>
        <v>15.600344827586209</v>
      </c>
      <c r="S56" s="370"/>
    </row>
    <row r="57" spans="1:19" ht="21" outlineLevel="1">
      <c r="A57" s="392" t="s">
        <v>1145</v>
      </c>
      <c r="B57" s="392" t="s">
        <v>1170</v>
      </c>
      <c r="C57" s="392" t="s">
        <v>1059</v>
      </c>
      <c r="D57" s="388" t="s">
        <v>1169</v>
      </c>
      <c r="E57" s="388" t="s">
        <v>1032</v>
      </c>
      <c r="F57" s="248" t="s">
        <v>1165</v>
      </c>
      <c r="G57" s="292" t="s">
        <v>524</v>
      </c>
      <c r="H57" s="395"/>
      <c r="I57" s="395"/>
      <c r="J57" s="395">
        <f t="shared" si="0"/>
        <v>0</v>
      </c>
      <c r="K57" s="395">
        <f t="shared" si="1"/>
        <v>0</v>
      </c>
      <c r="L57" s="395">
        <f t="shared" si="2"/>
        <v>0</v>
      </c>
      <c r="M57" s="395">
        <f t="shared" si="3"/>
        <v>0</v>
      </c>
      <c r="N57" s="415"/>
      <c r="O57" s="393">
        <v>6.8965517241379297</v>
      </c>
      <c r="P57" s="393">
        <v>18.5</v>
      </c>
      <c r="Q57" s="393">
        <f t="shared" si="13"/>
        <v>2.29</v>
      </c>
      <c r="R57" s="393">
        <f t="shared" si="14"/>
        <v>27.686551724137928</v>
      </c>
      <c r="S57" s="370"/>
    </row>
    <row r="58" spans="1:19" ht="21" outlineLevel="1">
      <c r="A58" s="392" t="s">
        <v>1145</v>
      </c>
      <c r="B58" s="392" t="s">
        <v>1171</v>
      </c>
      <c r="C58" s="392" t="s">
        <v>1059</v>
      </c>
      <c r="D58" s="388" t="s">
        <v>1169</v>
      </c>
      <c r="E58" s="388" t="s">
        <v>1033</v>
      </c>
      <c r="F58" s="248" t="s">
        <v>1165</v>
      </c>
      <c r="G58" s="292" t="s">
        <v>524</v>
      </c>
      <c r="H58" s="395"/>
      <c r="I58" s="395"/>
      <c r="J58" s="395">
        <f t="shared" si="0"/>
        <v>0</v>
      </c>
      <c r="K58" s="395">
        <f t="shared" si="1"/>
        <v>0</v>
      </c>
      <c r="L58" s="395">
        <f t="shared" si="2"/>
        <v>0</v>
      </c>
      <c r="M58" s="395">
        <f t="shared" si="3"/>
        <v>0</v>
      </c>
      <c r="N58" s="415"/>
      <c r="O58" s="393">
        <v>8.6206896551724093</v>
      </c>
      <c r="P58" s="393">
        <v>25</v>
      </c>
      <c r="Q58" s="393">
        <f t="shared" si="13"/>
        <v>3.03</v>
      </c>
      <c r="R58" s="393">
        <f t="shared" si="14"/>
        <v>36.650689655172414</v>
      </c>
      <c r="S58" s="370"/>
    </row>
    <row r="59" spans="1:19" ht="21" outlineLevel="1">
      <c r="A59" s="392" t="s">
        <v>1145</v>
      </c>
      <c r="B59" s="392" t="s">
        <v>1172</v>
      </c>
      <c r="C59" s="392" t="s">
        <v>1059</v>
      </c>
      <c r="D59" s="248" t="s">
        <v>1173</v>
      </c>
      <c r="E59" s="248" t="s">
        <v>1032</v>
      </c>
      <c r="F59" s="248" t="s">
        <v>1165</v>
      </c>
      <c r="G59" s="370" t="s">
        <v>524</v>
      </c>
      <c r="H59" s="395">
        <f>30+25</f>
        <v>55</v>
      </c>
      <c r="I59" s="395">
        <v>5</v>
      </c>
      <c r="J59" s="395">
        <f t="shared" si="0"/>
        <v>1371.6620689655174</v>
      </c>
      <c r="K59" s="395">
        <f t="shared" si="1"/>
        <v>1371.6620689655174</v>
      </c>
      <c r="L59" s="395">
        <f t="shared" si="2"/>
        <v>124.69655172413795</v>
      </c>
      <c r="M59" s="395">
        <f t="shared" si="3"/>
        <v>124.69655172413795</v>
      </c>
      <c r="N59" s="415"/>
      <c r="O59" s="393">
        <v>4.3793103448275899</v>
      </c>
      <c r="P59" s="393">
        <f>P57</f>
        <v>18.5</v>
      </c>
      <c r="Q59" s="393">
        <f t="shared" si="13"/>
        <v>2.06</v>
      </c>
      <c r="R59" s="393">
        <f t="shared" si="14"/>
        <v>24.939310344827589</v>
      </c>
      <c r="S59" s="370"/>
    </row>
    <row r="60" spans="1:19" ht="21" outlineLevel="1">
      <c r="A60" s="392" t="s">
        <v>1145</v>
      </c>
      <c r="B60" s="392" t="s">
        <v>1174</v>
      </c>
      <c r="C60" s="392" t="s">
        <v>1059</v>
      </c>
      <c r="D60" s="248" t="s">
        <v>1173</v>
      </c>
      <c r="E60" s="248" t="s">
        <v>1033</v>
      </c>
      <c r="F60" s="248" t="s">
        <v>1165</v>
      </c>
      <c r="G60" s="370" t="s">
        <v>524</v>
      </c>
      <c r="H60" s="395">
        <v>45</v>
      </c>
      <c r="I60" s="395">
        <v>5</v>
      </c>
      <c r="J60" s="395">
        <f t="shared" si="0"/>
        <v>1639.8465517241377</v>
      </c>
      <c r="K60" s="395">
        <f t="shared" si="1"/>
        <v>1639.8465517241377</v>
      </c>
      <c r="L60" s="395">
        <f t="shared" si="2"/>
        <v>182.20517241379309</v>
      </c>
      <c r="M60" s="395">
        <f t="shared" si="3"/>
        <v>182.20517241379309</v>
      </c>
      <c r="N60" s="415"/>
      <c r="O60" s="393">
        <v>8.4310344827586192</v>
      </c>
      <c r="P60" s="393">
        <f>P58</f>
        <v>25</v>
      </c>
      <c r="Q60" s="393">
        <f t="shared" si="13"/>
        <v>3.01</v>
      </c>
      <c r="R60" s="393">
        <f t="shared" si="14"/>
        <v>36.441034482758617</v>
      </c>
      <c r="S60" s="370"/>
    </row>
    <row r="61" spans="1:19">
      <c r="A61" s="392" t="s">
        <v>1052</v>
      </c>
      <c r="B61" s="392" t="s">
        <v>1175</v>
      </c>
      <c r="C61" s="392" t="s">
        <v>1056</v>
      </c>
      <c r="D61" s="394" t="s">
        <v>1176</v>
      </c>
      <c r="E61" s="248"/>
      <c r="F61" s="248"/>
      <c r="G61" s="370"/>
      <c r="H61" s="395"/>
      <c r="I61" s="395"/>
      <c r="J61" s="395"/>
      <c r="K61" s="395"/>
      <c r="L61" s="395"/>
      <c r="M61" s="395"/>
      <c r="N61" s="416"/>
      <c r="O61" s="393"/>
      <c r="P61" s="393"/>
      <c r="Q61" s="393"/>
      <c r="R61" s="395"/>
      <c r="S61" s="370"/>
    </row>
    <row r="62" spans="1:19">
      <c r="A62" s="392" t="s">
        <v>1051</v>
      </c>
      <c r="B62" s="392" t="s">
        <v>1177</v>
      </c>
      <c r="C62" s="392" t="s">
        <v>1053</v>
      </c>
      <c r="D62" s="394" t="s">
        <v>1178</v>
      </c>
      <c r="E62" s="248"/>
      <c r="F62" s="248"/>
      <c r="G62" s="370"/>
      <c r="H62" s="395"/>
      <c r="I62" s="395"/>
      <c r="J62" s="395"/>
      <c r="K62" s="395"/>
      <c r="L62" s="395"/>
      <c r="M62" s="395"/>
      <c r="N62" s="416"/>
      <c r="O62" s="393"/>
      <c r="P62" s="393"/>
      <c r="Q62" s="393"/>
      <c r="R62" s="393"/>
      <c r="S62" s="370"/>
    </row>
    <row r="63" spans="1:19">
      <c r="A63" s="392" t="s">
        <v>1177</v>
      </c>
      <c r="B63" s="392" t="s">
        <v>1179</v>
      </c>
      <c r="C63" s="392" t="s">
        <v>1056</v>
      </c>
      <c r="D63" s="394" t="s">
        <v>1180</v>
      </c>
      <c r="E63" s="248"/>
      <c r="F63" s="248"/>
      <c r="G63" s="370"/>
      <c r="H63" s="395"/>
      <c r="I63" s="395"/>
      <c r="J63" s="395"/>
      <c r="K63" s="395"/>
      <c r="L63" s="395"/>
      <c r="M63" s="395"/>
      <c r="N63" s="416"/>
      <c r="O63" s="393"/>
      <c r="P63" s="393"/>
      <c r="Q63" s="393"/>
      <c r="R63" s="395"/>
      <c r="S63" s="370"/>
    </row>
    <row r="64" spans="1:19" ht="42" outlineLevel="1">
      <c r="A64" s="392" t="s">
        <v>1179</v>
      </c>
      <c r="B64" s="392" t="s">
        <v>1181</v>
      </c>
      <c r="C64" s="392" t="s">
        <v>1059</v>
      </c>
      <c r="D64" s="248" t="s">
        <v>1182</v>
      </c>
      <c r="E64" s="248" t="s">
        <v>1183</v>
      </c>
      <c r="F64" s="248" t="s">
        <v>1184</v>
      </c>
      <c r="G64" s="370" t="s">
        <v>1063</v>
      </c>
      <c r="H64" s="395"/>
      <c r="I64" s="395"/>
      <c r="J64" s="395">
        <f t="shared" si="0"/>
        <v>0</v>
      </c>
      <c r="K64" s="395">
        <f t="shared" si="1"/>
        <v>0</v>
      </c>
      <c r="L64" s="395">
        <f t="shared" si="2"/>
        <v>0</v>
      </c>
      <c r="M64" s="395">
        <f t="shared" si="3"/>
        <v>0</v>
      </c>
      <c r="N64" s="415"/>
      <c r="O64" s="393">
        <v>2.3965517241379302</v>
      </c>
      <c r="P64" s="393">
        <v>7</v>
      </c>
      <c r="Q64" s="393">
        <f t="shared" ref="Q64:Q87" si="15">ROUND((O64+P64)*0.09,2)</f>
        <v>0.85</v>
      </c>
      <c r="R64" s="393">
        <f t="shared" ref="R64:R87" si="16">P64+O64+Q64</f>
        <v>10.24655172413793</v>
      </c>
      <c r="S64" s="370"/>
    </row>
    <row r="65" spans="1:22" ht="42" outlineLevel="1">
      <c r="A65" s="392" t="s">
        <v>1179</v>
      </c>
      <c r="B65" s="392" t="s">
        <v>1185</v>
      </c>
      <c r="C65" s="392" t="s">
        <v>1059</v>
      </c>
      <c r="D65" s="248" t="s">
        <v>1182</v>
      </c>
      <c r="E65" s="248" t="s">
        <v>1186</v>
      </c>
      <c r="F65" s="248" t="s">
        <v>1184</v>
      </c>
      <c r="G65" s="370" t="s">
        <v>1063</v>
      </c>
      <c r="H65" s="395">
        <f>14971.08</f>
        <v>14971.08</v>
      </c>
      <c r="I65" s="395">
        <v>2823.85</v>
      </c>
      <c r="J65" s="395">
        <f t="shared" si="0"/>
        <v>186167.96102068957</v>
      </c>
      <c r="K65" s="395">
        <f t="shared" si="1"/>
        <v>186167.96102068957</v>
      </c>
      <c r="L65" s="395">
        <f t="shared" si="2"/>
        <v>35115.061620689645</v>
      </c>
      <c r="M65" s="395">
        <f t="shared" si="3"/>
        <v>35115.061620689645</v>
      </c>
      <c r="N65" s="415"/>
      <c r="O65" s="393">
        <v>3.4051724137931001</v>
      </c>
      <c r="P65" s="393">
        <v>8</v>
      </c>
      <c r="Q65" s="393">
        <f t="shared" si="15"/>
        <v>1.03</v>
      </c>
      <c r="R65" s="393">
        <f t="shared" si="16"/>
        <v>12.435172413793099</v>
      </c>
      <c r="S65" s="370"/>
    </row>
    <row r="66" spans="1:22" ht="42" outlineLevel="1">
      <c r="A66" s="392" t="s">
        <v>1179</v>
      </c>
      <c r="B66" s="392" t="s">
        <v>1187</v>
      </c>
      <c r="C66" s="392" t="s">
        <v>1059</v>
      </c>
      <c r="D66" s="248" t="s">
        <v>1182</v>
      </c>
      <c r="E66" s="248" t="s">
        <v>1188</v>
      </c>
      <c r="F66" s="248" t="s">
        <v>1184</v>
      </c>
      <c r="G66" s="370" t="s">
        <v>1063</v>
      </c>
      <c r="H66" s="395">
        <v>158</v>
      </c>
      <c r="I66" s="395">
        <v>55.06</v>
      </c>
      <c r="J66" s="395">
        <f t="shared" si="0"/>
        <v>2176.9131034482762</v>
      </c>
      <c r="K66" s="395">
        <f t="shared" si="1"/>
        <v>2176.9131034482762</v>
      </c>
      <c r="L66" s="395">
        <f t="shared" si="2"/>
        <v>758.6128827586208</v>
      </c>
      <c r="M66" s="395">
        <f t="shared" si="3"/>
        <v>758.6128827586208</v>
      </c>
      <c r="N66" s="415"/>
      <c r="O66" s="393">
        <v>4.1379310344827598</v>
      </c>
      <c r="P66" s="393">
        <v>8.5</v>
      </c>
      <c r="Q66" s="393">
        <f t="shared" si="15"/>
        <v>1.1399999999999999</v>
      </c>
      <c r="R66" s="393">
        <f t="shared" si="16"/>
        <v>13.77793103448276</v>
      </c>
      <c r="S66" s="370"/>
    </row>
    <row r="67" spans="1:22" ht="42" outlineLevel="1">
      <c r="A67" s="392" t="s">
        <v>1179</v>
      </c>
      <c r="B67" s="392" t="s">
        <v>1189</v>
      </c>
      <c r="C67" s="392" t="s">
        <v>1059</v>
      </c>
      <c r="D67" s="248" t="s">
        <v>1182</v>
      </c>
      <c r="E67" s="248" t="s">
        <v>1190</v>
      </c>
      <c r="F67" s="248" t="s">
        <v>1184</v>
      </c>
      <c r="G67" s="370" t="s">
        <v>1063</v>
      </c>
      <c r="H67" s="395"/>
      <c r="I67" s="395">
        <v>82.36</v>
      </c>
      <c r="J67" s="395">
        <f t="shared" si="0"/>
        <v>0</v>
      </c>
      <c r="K67" s="395">
        <f t="shared" si="1"/>
        <v>0</v>
      </c>
      <c r="L67" s="395">
        <f t="shared" si="2"/>
        <v>1334.4023999999999</v>
      </c>
      <c r="M67" s="395">
        <f t="shared" si="3"/>
        <v>1334.4023999999999</v>
      </c>
      <c r="N67" s="415"/>
      <c r="O67" s="393">
        <v>5.8620689655172402</v>
      </c>
      <c r="P67" s="393">
        <v>9</v>
      </c>
      <c r="Q67" s="393">
        <f t="shared" si="15"/>
        <v>1.34</v>
      </c>
      <c r="R67" s="393">
        <f t="shared" si="16"/>
        <v>16.202068965517242</v>
      </c>
      <c r="S67" s="370"/>
    </row>
    <row r="68" spans="1:22" ht="42" outlineLevel="1">
      <c r="A68" s="392" t="s">
        <v>1179</v>
      </c>
      <c r="B68" s="392" t="s">
        <v>1191</v>
      </c>
      <c r="C68" s="392" t="s">
        <v>1059</v>
      </c>
      <c r="D68" s="248" t="s">
        <v>1192</v>
      </c>
      <c r="E68" s="248" t="s">
        <v>1183</v>
      </c>
      <c r="F68" s="248" t="s">
        <v>1193</v>
      </c>
      <c r="G68" s="370" t="s">
        <v>1063</v>
      </c>
      <c r="H68" s="395"/>
      <c r="I68" s="395"/>
      <c r="J68" s="395">
        <f t="shared" si="0"/>
        <v>0</v>
      </c>
      <c r="K68" s="395">
        <f t="shared" si="1"/>
        <v>0</v>
      </c>
      <c r="L68" s="395">
        <f t="shared" si="2"/>
        <v>0</v>
      </c>
      <c r="M68" s="395">
        <f t="shared" si="3"/>
        <v>0</v>
      </c>
      <c r="N68" s="415"/>
      <c r="O68" s="393">
        <f t="shared" ref="O68:O71" si="17">O64</f>
        <v>2.3965517241379302</v>
      </c>
      <c r="P68" s="393">
        <f t="shared" ref="P68:P71" si="18">P64-1</f>
        <v>6</v>
      </c>
      <c r="Q68" s="393">
        <f t="shared" si="15"/>
        <v>0.76</v>
      </c>
      <c r="R68" s="393">
        <f t="shared" si="16"/>
        <v>9.1565517241379304</v>
      </c>
      <c r="S68" s="370"/>
    </row>
    <row r="69" spans="1:22" ht="42" outlineLevel="1">
      <c r="A69" s="392" t="s">
        <v>1179</v>
      </c>
      <c r="B69" s="392" t="s">
        <v>1194</v>
      </c>
      <c r="C69" s="392" t="s">
        <v>1059</v>
      </c>
      <c r="D69" s="248" t="s">
        <v>1192</v>
      </c>
      <c r="E69" s="248" t="s">
        <v>1195</v>
      </c>
      <c r="F69" s="248" t="s">
        <v>1193</v>
      </c>
      <c r="G69" s="370" t="s">
        <v>1063</v>
      </c>
      <c r="H69" s="395"/>
      <c r="I69" s="395"/>
      <c r="J69" s="395">
        <f t="shared" si="0"/>
        <v>0</v>
      </c>
      <c r="K69" s="395">
        <f t="shared" si="1"/>
        <v>0</v>
      </c>
      <c r="L69" s="395">
        <f t="shared" si="2"/>
        <v>0</v>
      </c>
      <c r="M69" s="395">
        <f t="shared" si="3"/>
        <v>0</v>
      </c>
      <c r="N69" s="415"/>
      <c r="O69" s="393">
        <f t="shared" si="17"/>
        <v>3.4051724137931001</v>
      </c>
      <c r="P69" s="393">
        <f t="shared" si="18"/>
        <v>7</v>
      </c>
      <c r="Q69" s="393">
        <f t="shared" si="15"/>
        <v>0.94</v>
      </c>
      <c r="R69" s="393">
        <f t="shared" si="16"/>
        <v>11.345172413793099</v>
      </c>
      <c r="S69" s="370"/>
    </row>
    <row r="70" spans="1:22" ht="42" outlineLevel="1">
      <c r="A70" s="392" t="s">
        <v>1179</v>
      </c>
      <c r="B70" s="392" t="s">
        <v>1196</v>
      </c>
      <c r="C70" s="392" t="s">
        <v>1059</v>
      </c>
      <c r="D70" s="248" t="s">
        <v>1192</v>
      </c>
      <c r="E70" s="248" t="s">
        <v>1197</v>
      </c>
      <c r="F70" s="248" t="s">
        <v>1193</v>
      </c>
      <c r="G70" s="370" t="s">
        <v>1063</v>
      </c>
      <c r="H70" s="395"/>
      <c r="I70" s="395"/>
      <c r="J70" s="395">
        <f t="shared" ref="J70:J133" si="19">H70*R70</f>
        <v>0</v>
      </c>
      <c r="K70" s="395">
        <f t="shared" ref="K70:K133" si="20">H70*R70*(1+N70)</f>
        <v>0</v>
      </c>
      <c r="L70" s="395">
        <f t="shared" ref="L70:L133" si="21">I70*R70</f>
        <v>0</v>
      </c>
      <c r="M70" s="395">
        <f t="shared" ref="M70:M133" si="22">I70*R70*(1+N70)</f>
        <v>0</v>
      </c>
      <c r="N70" s="415"/>
      <c r="O70" s="393">
        <f t="shared" si="17"/>
        <v>4.1379310344827598</v>
      </c>
      <c r="P70" s="393">
        <f t="shared" si="18"/>
        <v>7.5</v>
      </c>
      <c r="Q70" s="393">
        <f t="shared" si="15"/>
        <v>1.05</v>
      </c>
      <c r="R70" s="393">
        <f t="shared" si="16"/>
        <v>12.68793103448276</v>
      </c>
      <c r="S70" s="370"/>
    </row>
    <row r="71" spans="1:22" ht="42" outlineLevel="1">
      <c r="A71" s="392" t="s">
        <v>1179</v>
      </c>
      <c r="B71" s="392" t="s">
        <v>1198</v>
      </c>
      <c r="C71" s="392" t="s">
        <v>1059</v>
      </c>
      <c r="D71" s="248" t="s">
        <v>1192</v>
      </c>
      <c r="E71" s="248" t="s">
        <v>1199</v>
      </c>
      <c r="F71" s="248" t="s">
        <v>1193</v>
      </c>
      <c r="G71" s="370" t="s">
        <v>1063</v>
      </c>
      <c r="H71" s="395"/>
      <c r="I71" s="395"/>
      <c r="J71" s="395">
        <f t="shared" si="19"/>
        <v>0</v>
      </c>
      <c r="K71" s="395">
        <f t="shared" si="20"/>
        <v>0</v>
      </c>
      <c r="L71" s="395">
        <f t="shared" si="21"/>
        <v>0</v>
      </c>
      <c r="M71" s="395">
        <f t="shared" si="22"/>
        <v>0</v>
      </c>
      <c r="N71" s="415"/>
      <c r="O71" s="393">
        <f t="shared" si="17"/>
        <v>5.8620689655172402</v>
      </c>
      <c r="P71" s="393">
        <f t="shared" si="18"/>
        <v>8</v>
      </c>
      <c r="Q71" s="393">
        <f t="shared" si="15"/>
        <v>1.25</v>
      </c>
      <c r="R71" s="393">
        <f t="shared" si="16"/>
        <v>15.11206896551724</v>
      </c>
      <c r="S71" s="370"/>
    </row>
    <row r="72" spans="1:22" ht="31.5" outlineLevel="1">
      <c r="A72" s="392" t="s">
        <v>1179</v>
      </c>
      <c r="B72" s="392" t="s">
        <v>1200</v>
      </c>
      <c r="C72" s="392" t="s">
        <v>1059</v>
      </c>
      <c r="D72" s="248" t="s">
        <v>1201</v>
      </c>
      <c r="E72" s="248" t="s">
        <v>1202</v>
      </c>
      <c r="F72" s="248" t="s">
        <v>1203</v>
      </c>
      <c r="G72" s="370" t="s">
        <v>1063</v>
      </c>
      <c r="H72" s="395">
        <f>8154.79+80911.88</f>
        <v>89066.67</v>
      </c>
      <c r="I72" s="395">
        <v>3504.33</v>
      </c>
      <c r="J72" s="395">
        <f t="shared" si="19"/>
        <v>723067.79717586213</v>
      </c>
      <c r="K72" s="395">
        <f t="shared" si="20"/>
        <v>723067.79717586213</v>
      </c>
      <c r="L72" s="395">
        <f t="shared" si="21"/>
        <v>28449.11765172414</v>
      </c>
      <c r="M72" s="395">
        <f t="shared" si="22"/>
        <v>28449.11765172414</v>
      </c>
      <c r="N72" s="415"/>
      <c r="O72" s="393">
        <v>0.94827586206896597</v>
      </c>
      <c r="P72" s="393">
        <v>6.5</v>
      </c>
      <c r="Q72" s="393">
        <f t="shared" si="15"/>
        <v>0.67</v>
      </c>
      <c r="R72" s="393">
        <f t="shared" si="16"/>
        <v>8.1182758620689661</v>
      </c>
      <c r="S72" s="370"/>
    </row>
    <row r="73" spans="1:22" ht="31.5" outlineLevel="1">
      <c r="A73" s="392" t="s">
        <v>1179</v>
      </c>
      <c r="B73" s="392" t="s">
        <v>1204</v>
      </c>
      <c r="C73" s="392" t="s">
        <v>1059</v>
      </c>
      <c r="D73" s="248" t="s">
        <v>1201</v>
      </c>
      <c r="E73" s="248" t="s">
        <v>1205</v>
      </c>
      <c r="F73" s="248" t="s">
        <v>1203</v>
      </c>
      <c r="G73" s="370" t="s">
        <v>1063</v>
      </c>
      <c r="H73" s="395"/>
      <c r="I73" s="395">
        <v>155.65</v>
      </c>
      <c r="J73" s="395">
        <f t="shared" si="19"/>
        <v>0</v>
      </c>
      <c r="K73" s="395">
        <f t="shared" si="20"/>
        <v>0</v>
      </c>
      <c r="L73" s="395">
        <f t="shared" si="21"/>
        <v>1416.9517241379313</v>
      </c>
      <c r="M73" s="395">
        <f t="shared" si="22"/>
        <v>1416.9517241379313</v>
      </c>
      <c r="N73" s="415"/>
      <c r="O73" s="393">
        <v>1.3534482758620701</v>
      </c>
      <c r="P73" s="393">
        <v>7</v>
      </c>
      <c r="Q73" s="393">
        <f t="shared" si="15"/>
        <v>0.75</v>
      </c>
      <c r="R73" s="393">
        <f t="shared" si="16"/>
        <v>9.1034482758620694</v>
      </c>
      <c r="S73" s="370"/>
    </row>
    <row r="74" spans="1:22" ht="31.5" outlineLevel="1">
      <c r="A74" s="392" t="s">
        <v>1179</v>
      </c>
      <c r="B74" s="392" t="s">
        <v>1206</v>
      </c>
      <c r="C74" s="392" t="s">
        <v>1059</v>
      </c>
      <c r="D74" s="248" t="s">
        <v>1201</v>
      </c>
      <c r="E74" s="248" t="s">
        <v>1207</v>
      </c>
      <c r="F74" s="248" t="s">
        <v>1203</v>
      </c>
      <c r="G74" s="370" t="s">
        <v>1063</v>
      </c>
      <c r="H74" s="395">
        <f>8521.35</f>
        <v>8521.35</v>
      </c>
      <c r="I74" s="395"/>
      <c r="J74" s="395">
        <f t="shared" si="19"/>
        <v>87476.065344827584</v>
      </c>
      <c r="K74" s="395">
        <f t="shared" si="20"/>
        <v>87476.065344827584</v>
      </c>
      <c r="L74" s="395">
        <f t="shared" si="21"/>
        <v>0</v>
      </c>
      <c r="M74" s="395">
        <f t="shared" si="22"/>
        <v>0</v>
      </c>
      <c r="N74" s="415"/>
      <c r="O74" s="393">
        <v>2.2155172413793101</v>
      </c>
      <c r="P74" s="393">
        <v>7.2</v>
      </c>
      <c r="Q74" s="393">
        <f t="shared" si="15"/>
        <v>0.85</v>
      </c>
      <c r="R74" s="393">
        <f t="shared" si="16"/>
        <v>10.26551724137931</v>
      </c>
      <c r="S74" s="370"/>
    </row>
    <row r="75" spans="1:22" ht="31.5" outlineLevel="1">
      <c r="A75" s="392" t="s">
        <v>1179</v>
      </c>
      <c r="B75" s="392" t="s">
        <v>1208</v>
      </c>
      <c r="C75" s="392" t="s">
        <v>1059</v>
      </c>
      <c r="D75" s="248" t="s">
        <v>1201</v>
      </c>
      <c r="E75" s="248" t="s">
        <v>1209</v>
      </c>
      <c r="F75" s="248" t="s">
        <v>1203</v>
      </c>
      <c r="G75" s="370" t="s">
        <v>1063</v>
      </c>
      <c r="H75" s="395"/>
      <c r="I75" s="395"/>
      <c r="J75" s="395">
        <f t="shared" si="19"/>
        <v>0</v>
      </c>
      <c r="K75" s="395">
        <f t="shared" si="20"/>
        <v>0</v>
      </c>
      <c r="L75" s="395">
        <f t="shared" si="21"/>
        <v>0</v>
      </c>
      <c r="M75" s="395">
        <f t="shared" si="22"/>
        <v>0</v>
      </c>
      <c r="N75" s="415"/>
      <c r="O75" s="393">
        <v>2.9310344827586201</v>
      </c>
      <c r="P75" s="393">
        <v>8.6</v>
      </c>
      <c r="Q75" s="393">
        <f t="shared" si="15"/>
        <v>1.04</v>
      </c>
      <c r="R75" s="393">
        <f t="shared" si="16"/>
        <v>12.57103448275862</v>
      </c>
      <c r="S75" s="370"/>
    </row>
    <row r="76" spans="1:22" ht="31.5" outlineLevel="1">
      <c r="A76" s="392" t="s">
        <v>1179</v>
      </c>
      <c r="B76" s="392" t="s">
        <v>1210</v>
      </c>
      <c r="C76" s="392" t="s">
        <v>1059</v>
      </c>
      <c r="D76" s="248" t="s">
        <v>1201</v>
      </c>
      <c r="E76" s="248" t="s">
        <v>1211</v>
      </c>
      <c r="F76" s="248" t="s">
        <v>1203</v>
      </c>
      <c r="G76" s="370" t="s">
        <v>1063</v>
      </c>
      <c r="H76" s="395"/>
      <c r="I76" s="395"/>
      <c r="J76" s="395">
        <f t="shared" si="19"/>
        <v>0</v>
      </c>
      <c r="K76" s="395">
        <f t="shared" si="20"/>
        <v>0</v>
      </c>
      <c r="L76" s="395">
        <f t="shared" si="21"/>
        <v>0</v>
      </c>
      <c r="M76" s="395">
        <f t="shared" si="22"/>
        <v>0</v>
      </c>
      <c r="N76" s="415"/>
      <c r="O76" s="393">
        <v>4.0258620689655196</v>
      </c>
      <c r="P76" s="393">
        <v>9</v>
      </c>
      <c r="Q76" s="393">
        <f t="shared" si="15"/>
        <v>1.17</v>
      </c>
      <c r="R76" s="393">
        <f t="shared" si="16"/>
        <v>14.195862068965519</v>
      </c>
      <c r="S76" s="370"/>
    </row>
    <row r="77" spans="1:22" ht="42" outlineLevel="1">
      <c r="A77" s="392" t="s">
        <v>1179</v>
      </c>
      <c r="B77" s="392" t="s">
        <v>1212</v>
      </c>
      <c r="C77" s="392" t="s">
        <v>1059</v>
      </c>
      <c r="D77" s="388" t="s">
        <v>1213</v>
      </c>
      <c r="E77" s="388" t="s">
        <v>1214</v>
      </c>
      <c r="F77" s="388" t="s">
        <v>1215</v>
      </c>
      <c r="G77" s="292" t="s">
        <v>1063</v>
      </c>
      <c r="H77" s="395">
        <f>472.1+586.22</f>
        <v>1058.32</v>
      </c>
      <c r="I77" s="395">
        <f>298.86+91.72</f>
        <v>390.58</v>
      </c>
      <c r="J77" s="395">
        <f t="shared" si="19"/>
        <v>14839.836027586205</v>
      </c>
      <c r="K77" s="395">
        <f t="shared" si="20"/>
        <v>14839.836027586205</v>
      </c>
      <c r="L77" s="395">
        <f t="shared" si="21"/>
        <v>5476.7396965517237</v>
      </c>
      <c r="M77" s="395">
        <f t="shared" si="22"/>
        <v>5476.7396965517237</v>
      </c>
      <c r="N77" s="415"/>
      <c r="O77" s="393">
        <v>0.86206896551724099</v>
      </c>
      <c r="P77" s="393">
        <v>12</v>
      </c>
      <c r="Q77" s="393">
        <f t="shared" si="15"/>
        <v>1.1599999999999999</v>
      </c>
      <c r="R77" s="393">
        <f t="shared" si="16"/>
        <v>14.02206896551724</v>
      </c>
      <c r="S77" s="370"/>
    </row>
    <row r="78" spans="1:22" ht="42" outlineLevel="1">
      <c r="A78" s="392" t="s">
        <v>1179</v>
      </c>
      <c r="B78" s="392" t="s">
        <v>1216</v>
      </c>
      <c r="C78" s="392" t="s">
        <v>1059</v>
      </c>
      <c r="D78" s="388" t="s">
        <v>1213</v>
      </c>
      <c r="E78" s="388" t="s">
        <v>1157</v>
      </c>
      <c r="F78" s="388" t="s">
        <v>1215</v>
      </c>
      <c r="G78" s="292" t="s">
        <v>1063</v>
      </c>
      <c r="H78" s="395"/>
      <c r="I78" s="395"/>
      <c r="J78" s="395">
        <f t="shared" si="19"/>
        <v>0</v>
      </c>
      <c r="K78" s="395">
        <f t="shared" si="20"/>
        <v>0</v>
      </c>
      <c r="L78" s="395">
        <f t="shared" si="21"/>
        <v>0</v>
      </c>
      <c r="M78" s="395">
        <f t="shared" si="22"/>
        <v>0</v>
      </c>
      <c r="N78" s="415"/>
      <c r="O78" s="393">
        <v>1.63793103448276</v>
      </c>
      <c r="P78" s="393">
        <v>14</v>
      </c>
      <c r="Q78" s="393">
        <f t="shared" si="15"/>
        <v>1.41</v>
      </c>
      <c r="R78" s="393">
        <f t="shared" si="16"/>
        <v>17.047931034482758</v>
      </c>
      <c r="S78" s="370"/>
    </row>
    <row r="79" spans="1:22" ht="33.75" outlineLevel="1">
      <c r="A79" s="392" t="s">
        <v>1179</v>
      </c>
      <c r="B79" s="392" t="s">
        <v>1217</v>
      </c>
      <c r="C79" s="392" t="s">
        <v>1059</v>
      </c>
      <c r="D79" s="388" t="s">
        <v>1218</v>
      </c>
      <c r="E79" s="388" t="s">
        <v>1084</v>
      </c>
      <c r="F79" s="388" t="s">
        <v>1219</v>
      </c>
      <c r="G79" s="292" t="s">
        <v>1063</v>
      </c>
      <c r="H79" s="395"/>
      <c r="I79" s="395"/>
      <c r="J79" s="395">
        <f t="shared" si="19"/>
        <v>0</v>
      </c>
      <c r="K79" s="395">
        <f t="shared" si="20"/>
        <v>0</v>
      </c>
      <c r="L79" s="395">
        <f t="shared" si="21"/>
        <v>0</v>
      </c>
      <c r="M79" s="395">
        <f t="shared" si="22"/>
        <v>0</v>
      </c>
      <c r="N79" s="415"/>
      <c r="O79" s="393">
        <v>2.5862068965517202</v>
      </c>
      <c r="P79" s="393">
        <v>8</v>
      </c>
      <c r="Q79" s="393">
        <f t="shared" si="15"/>
        <v>0.95</v>
      </c>
      <c r="R79" s="393">
        <f t="shared" si="16"/>
        <v>11.53620689655172</v>
      </c>
      <c r="S79" s="370"/>
      <c r="T79" s="39" t="s">
        <v>1220</v>
      </c>
      <c r="U79" s="39"/>
      <c r="V79" s="39"/>
    </row>
    <row r="80" spans="1:22" ht="33.75" outlineLevel="1">
      <c r="A80" s="392" t="s">
        <v>1179</v>
      </c>
      <c r="B80" s="392" t="s">
        <v>1221</v>
      </c>
      <c r="C80" s="392" t="s">
        <v>1059</v>
      </c>
      <c r="D80" s="388" t="s">
        <v>1218</v>
      </c>
      <c r="E80" s="388" t="s">
        <v>1088</v>
      </c>
      <c r="F80" s="388" t="s">
        <v>1219</v>
      </c>
      <c r="G80" s="292" t="s">
        <v>1063</v>
      </c>
      <c r="H80" s="395"/>
      <c r="I80" s="395"/>
      <c r="J80" s="395">
        <f t="shared" si="19"/>
        <v>0</v>
      </c>
      <c r="K80" s="395">
        <f t="shared" si="20"/>
        <v>0</v>
      </c>
      <c r="L80" s="395">
        <f t="shared" si="21"/>
        <v>0</v>
      </c>
      <c r="M80" s="395">
        <f t="shared" si="22"/>
        <v>0</v>
      </c>
      <c r="N80" s="415"/>
      <c r="O80" s="393">
        <v>4.9137931034482802</v>
      </c>
      <c r="P80" s="393">
        <v>12</v>
      </c>
      <c r="Q80" s="393">
        <f t="shared" si="15"/>
        <v>1.52</v>
      </c>
      <c r="R80" s="393">
        <f t="shared" si="16"/>
        <v>18.433793103448281</v>
      </c>
      <c r="S80" s="370"/>
      <c r="T80" s="39" t="s">
        <v>1220</v>
      </c>
      <c r="U80" s="39"/>
      <c r="V80" s="39"/>
    </row>
    <row r="81" spans="1:22" ht="33.75" outlineLevel="1">
      <c r="A81" s="392" t="s">
        <v>1179</v>
      </c>
      <c r="B81" s="392" t="s">
        <v>1222</v>
      </c>
      <c r="C81" s="392" t="s">
        <v>1059</v>
      </c>
      <c r="D81" s="388" t="s">
        <v>1218</v>
      </c>
      <c r="E81" s="388" t="s">
        <v>1032</v>
      </c>
      <c r="F81" s="388" t="s">
        <v>1219</v>
      </c>
      <c r="G81" s="292" t="s">
        <v>1063</v>
      </c>
      <c r="H81" s="395"/>
      <c r="I81" s="395"/>
      <c r="J81" s="395">
        <f t="shared" si="19"/>
        <v>0</v>
      </c>
      <c r="K81" s="395">
        <f t="shared" si="20"/>
        <v>0</v>
      </c>
      <c r="L81" s="395">
        <f t="shared" si="21"/>
        <v>0</v>
      </c>
      <c r="M81" s="395">
        <f t="shared" si="22"/>
        <v>0</v>
      </c>
      <c r="N81" s="415"/>
      <c r="O81" s="393">
        <v>5.6034482758620703</v>
      </c>
      <c r="P81" s="393">
        <v>13</v>
      </c>
      <c r="Q81" s="393">
        <f t="shared" si="15"/>
        <v>1.67</v>
      </c>
      <c r="R81" s="393">
        <f t="shared" si="16"/>
        <v>20.273448275862073</v>
      </c>
      <c r="S81" s="370"/>
      <c r="T81" s="39" t="s">
        <v>1220</v>
      </c>
      <c r="U81" s="39"/>
      <c r="V81" s="39"/>
    </row>
    <row r="82" spans="1:22" ht="33.75" outlineLevel="1">
      <c r="A82" s="392" t="s">
        <v>1179</v>
      </c>
      <c r="B82" s="392" t="s">
        <v>1223</v>
      </c>
      <c r="C82" s="392" t="s">
        <v>1059</v>
      </c>
      <c r="D82" s="388" t="s">
        <v>1218</v>
      </c>
      <c r="E82" s="388" t="s">
        <v>1140</v>
      </c>
      <c r="F82" s="388" t="s">
        <v>1219</v>
      </c>
      <c r="G82" s="292" t="s">
        <v>1063</v>
      </c>
      <c r="H82" s="395"/>
      <c r="I82" s="395"/>
      <c r="J82" s="395">
        <f t="shared" si="19"/>
        <v>0</v>
      </c>
      <c r="K82" s="395">
        <f t="shared" si="20"/>
        <v>0</v>
      </c>
      <c r="L82" s="395">
        <f t="shared" si="21"/>
        <v>0</v>
      </c>
      <c r="M82" s="395">
        <f t="shared" si="22"/>
        <v>0</v>
      </c>
      <c r="N82" s="415"/>
      <c r="O82" s="393">
        <v>9.4827586206896601</v>
      </c>
      <c r="P82" s="393">
        <v>15</v>
      </c>
      <c r="Q82" s="393">
        <f t="shared" si="15"/>
        <v>2.2000000000000002</v>
      </c>
      <c r="R82" s="393">
        <f t="shared" si="16"/>
        <v>26.682758620689658</v>
      </c>
      <c r="S82" s="370"/>
      <c r="T82" s="39" t="s">
        <v>1220</v>
      </c>
      <c r="U82" s="39"/>
      <c r="V82" s="39"/>
    </row>
    <row r="83" spans="1:22" ht="33.75" outlineLevel="1">
      <c r="A83" s="392" t="s">
        <v>1179</v>
      </c>
      <c r="B83" s="392" t="s">
        <v>1224</v>
      </c>
      <c r="C83" s="392" t="s">
        <v>1059</v>
      </c>
      <c r="D83" s="388" t="s">
        <v>1218</v>
      </c>
      <c r="E83" s="388" t="s">
        <v>1033</v>
      </c>
      <c r="F83" s="388" t="s">
        <v>1219</v>
      </c>
      <c r="G83" s="292" t="s">
        <v>1063</v>
      </c>
      <c r="H83" s="395"/>
      <c r="I83" s="395"/>
      <c r="J83" s="395">
        <f t="shared" si="19"/>
        <v>0</v>
      </c>
      <c r="K83" s="395">
        <f t="shared" si="20"/>
        <v>0</v>
      </c>
      <c r="L83" s="395">
        <f t="shared" si="21"/>
        <v>0</v>
      </c>
      <c r="M83" s="395">
        <f t="shared" si="22"/>
        <v>0</v>
      </c>
      <c r="N83" s="415"/>
      <c r="O83" s="393">
        <v>11.2068965517241</v>
      </c>
      <c r="P83" s="393">
        <v>16</v>
      </c>
      <c r="Q83" s="393">
        <f t="shared" si="15"/>
        <v>2.4500000000000002</v>
      </c>
      <c r="R83" s="393">
        <f t="shared" si="16"/>
        <v>29.656896551724099</v>
      </c>
      <c r="S83" s="370"/>
      <c r="T83" s="39" t="s">
        <v>1220</v>
      </c>
      <c r="U83" s="39"/>
      <c r="V83" s="39"/>
    </row>
    <row r="84" spans="1:22" ht="31.5" outlineLevel="1">
      <c r="A84" s="392" t="s">
        <v>1179</v>
      </c>
      <c r="B84" s="392" t="s">
        <v>1225</v>
      </c>
      <c r="C84" s="392" t="s">
        <v>1059</v>
      </c>
      <c r="D84" s="248" t="s">
        <v>1226</v>
      </c>
      <c r="E84" s="248" t="s">
        <v>1227</v>
      </c>
      <c r="F84" s="248" t="s">
        <v>1228</v>
      </c>
      <c r="G84" s="370" t="s">
        <v>524</v>
      </c>
      <c r="H84" s="395">
        <f>1276+13740+1016</f>
        <v>16032</v>
      </c>
      <c r="I84" s="395">
        <f>418+267</f>
        <v>685</v>
      </c>
      <c r="J84" s="395">
        <f t="shared" si="19"/>
        <v>90735.591724137921</v>
      </c>
      <c r="K84" s="395">
        <f t="shared" si="20"/>
        <v>90735.591724137921</v>
      </c>
      <c r="L84" s="395">
        <f t="shared" si="21"/>
        <v>3876.8637931034477</v>
      </c>
      <c r="M84" s="395">
        <f t="shared" si="22"/>
        <v>3876.8637931034477</v>
      </c>
      <c r="N84" s="415"/>
      <c r="O84" s="393">
        <v>0.68965517241379304</v>
      </c>
      <c r="P84" s="393">
        <v>4.5</v>
      </c>
      <c r="Q84" s="393">
        <f t="shared" si="15"/>
        <v>0.47</v>
      </c>
      <c r="R84" s="393">
        <f t="shared" si="16"/>
        <v>5.6596551724137925</v>
      </c>
      <c r="S84" s="370"/>
    </row>
    <row r="85" spans="1:22" ht="31.5" outlineLevel="1">
      <c r="A85" s="392" t="s">
        <v>1179</v>
      </c>
      <c r="B85" s="392" t="s">
        <v>1229</v>
      </c>
      <c r="C85" s="392" t="s">
        <v>1059</v>
      </c>
      <c r="D85" s="248" t="s">
        <v>1230</v>
      </c>
      <c r="E85" s="248" t="s">
        <v>1227</v>
      </c>
      <c r="F85" s="248" t="s">
        <v>1228</v>
      </c>
      <c r="G85" s="370" t="s">
        <v>524</v>
      </c>
      <c r="H85" s="395"/>
      <c r="I85" s="395"/>
      <c r="J85" s="395">
        <f t="shared" si="19"/>
        <v>0</v>
      </c>
      <c r="K85" s="395">
        <f t="shared" si="20"/>
        <v>0</v>
      </c>
      <c r="L85" s="395">
        <f t="shared" si="21"/>
        <v>0</v>
      </c>
      <c r="M85" s="395">
        <f t="shared" si="22"/>
        <v>0</v>
      </c>
      <c r="N85" s="415"/>
      <c r="O85" s="393">
        <v>1.72413793103448</v>
      </c>
      <c r="P85" s="393">
        <v>5</v>
      </c>
      <c r="Q85" s="393">
        <f t="shared" si="15"/>
        <v>0.61</v>
      </c>
      <c r="R85" s="393">
        <f t="shared" si="16"/>
        <v>7.3341379310344808</v>
      </c>
      <c r="S85" s="370"/>
    </row>
    <row r="86" spans="1:22" ht="31.5" outlineLevel="1">
      <c r="A86" s="392" t="s">
        <v>1179</v>
      </c>
      <c r="B86" s="392" t="s">
        <v>1231</v>
      </c>
      <c r="C86" s="392" t="s">
        <v>1059</v>
      </c>
      <c r="D86" s="248" t="s">
        <v>1232</v>
      </c>
      <c r="E86" s="248" t="s">
        <v>1227</v>
      </c>
      <c r="F86" s="248" t="s">
        <v>1228</v>
      </c>
      <c r="G86" s="370" t="s">
        <v>524</v>
      </c>
      <c r="H86" s="395">
        <f>4308</f>
        <v>4308</v>
      </c>
      <c r="I86" s="395">
        <v>34</v>
      </c>
      <c r="J86" s="395">
        <f t="shared" si="19"/>
        <v>31595.466206896544</v>
      </c>
      <c r="K86" s="395">
        <f t="shared" si="20"/>
        <v>31595.466206896544</v>
      </c>
      <c r="L86" s="395">
        <f t="shared" si="21"/>
        <v>249.36068965517234</v>
      </c>
      <c r="M86" s="395">
        <f t="shared" si="22"/>
        <v>249.36068965517234</v>
      </c>
      <c r="N86" s="415"/>
      <c r="O86" s="393">
        <f>O85</f>
        <v>1.72413793103448</v>
      </c>
      <c r="P86" s="393">
        <f>P85</f>
        <v>5</v>
      </c>
      <c r="Q86" s="393">
        <f t="shared" si="15"/>
        <v>0.61</v>
      </c>
      <c r="R86" s="393">
        <f t="shared" si="16"/>
        <v>7.3341379310344808</v>
      </c>
      <c r="S86" s="370"/>
    </row>
    <row r="87" spans="1:22" outlineLevel="1">
      <c r="A87" s="392" t="s">
        <v>1179</v>
      </c>
      <c r="B87" s="392" t="s">
        <v>1233</v>
      </c>
      <c r="C87" s="392" t="s">
        <v>1059</v>
      </c>
      <c r="D87" s="248" t="s">
        <v>1234</v>
      </c>
      <c r="E87" s="248"/>
      <c r="F87" s="248" t="s">
        <v>1228</v>
      </c>
      <c r="G87" s="370" t="s">
        <v>524</v>
      </c>
      <c r="H87" s="395"/>
      <c r="I87" s="395"/>
      <c r="J87" s="395">
        <f t="shared" si="19"/>
        <v>0</v>
      </c>
      <c r="K87" s="395">
        <f t="shared" si="20"/>
        <v>0</v>
      </c>
      <c r="L87" s="395">
        <f t="shared" si="21"/>
        <v>0</v>
      </c>
      <c r="M87" s="395">
        <f t="shared" si="22"/>
        <v>0</v>
      </c>
      <c r="N87" s="415"/>
      <c r="O87" s="393">
        <v>0.68965517241379304</v>
      </c>
      <c r="P87" s="393">
        <v>4.5</v>
      </c>
      <c r="Q87" s="393">
        <f t="shared" si="15"/>
        <v>0.47</v>
      </c>
      <c r="R87" s="393">
        <f t="shared" si="16"/>
        <v>5.6596551724137925</v>
      </c>
      <c r="S87" s="370"/>
    </row>
    <row r="88" spans="1:22">
      <c r="A88" s="392" t="s">
        <v>1177</v>
      </c>
      <c r="B88" s="392" t="s">
        <v>1235</v>
      </c>
      <c r="C88" s="392" t="s">
        <v>1056</v>
      </c>
      <c r="D88" s="394" t="s">
        <v>1236</v>
      </c>
      <c r="E88" s="248"/>
      <c r="F88" s="248"/>
      <c r="G88" s="370"/>
      <c r="H88" s="395"/>
      <c r="I88" s="395"/>
      <c r="J88" s="395"/>
      <c r="K88" s="395"/>
      <c r="L88" s="395"/>
      <c r="M88" s="395"/>
      <c r="N88" s="416"/>
      <c r="O88" s="393"/>
      <c r="P88" s="393"/>
      <c r="Q88" s="393"/>
      <c r="R88" s="395"/>
      <c r="S88" s="370"/>
    </row>
    <row r="89" spans="1:22" ht="21" outlineLevel="1">
      <c r="A89" s="392" t="s">
        <v>1235</v>
      </c>
      <c r="B89" s="392" t="s">
        <v>1237</v>
      </c>
      <c r="C89" s="392" t="s">
        <v>1059</v>
      </c>
      <c r="D89" s="388" t="s">
        <v>1238</v>
      </c>
      <c r="E89" s="388" t="s">
        <v>1239</v>
      </c>
      <c r="F89" s="388" t="s">
        <v>1240</v>
      </c>
      <c r="G89" s="292" t="s">
        <v>1063</v>
      </c>
      <c r="H89" s="395">
        <v>55848.92</v>
      </c>
      <c r="I89" s="395"/>
      <c r="J89" s="395">
        <f t="shared" si="19"/>
        <v>128375.48300689641</v>
      </c>
      <c r="K89" s="395">
        <f t="shared" si="20"/>
        <v>128375.48300689641</v>
      </c>
      <c r="L89" s="395">
        <f t="shared" si="21"/>
        <v>0</v>
      </c>
      <c r="M89" s="395">
        <f t="shared" si="22"/>
        <v>0</v>
      </c>
      <c r="N89" s="415"/>
      <c r="O89" s="393">
        <v>1.2586206896551699</v>
      </c>
      <c r="P89" s="393">
        <v>0.85</v>
      </c>
      <c r="Q89" s="393">
        <f t="shared" ref="Q89:Q114" si="23">ROUND((O89+P89)*0.09,2)</f>
        <v>0.19</v>
      </c>
      <c r="R89" s="393">
        <f t="shared" ref="R89:R114" si="24">P89+O89+Q89</f>
        <v>2.29862068965517</v>
      </c>
      <c r="S89" s="370"/>
    </row>
    <row r="90" spans="1:22" ht="21" outlineLevel="1">
      <c r="A90" s="392" t="s">
        <v>1235</v>
      </c>
      <c r="B90" s="392" t="s">
        <v>1241</v>
      </c>
      <c r="C90" s="392" t="s">
        <v>1059</v>
      </c>
      <c r="D90" s="388" t="s">
        <v>1238</v>
      </c>
      <c r="E90" s="388" t="s">
        <v>1242</v>
      </c>
      <c r="F90" s="388" t="s">
        <v>1240</v>
      </c>
      <c r="G90" s="292" t="s">
        <v>1063</v>
      </c>
      <c r="H90" s="395">
        <f>122839.24</f>
        <v>122839.24</v>
      </c>
      <c r="I90" s="395"/>
      <c r="J90" s="395">
        <f t="shared" si="19"/>
        <v>386054.08046896616</v>
      </c>
      <c r="K90" s="395">
        <f t="shared" si="20"/>
        <v>386054.08046896616</v>
      </c>
      <c r="L90" s="395">
        <f t="shared" si="21"/>
        <v>0</v>
      </c>
      <c r="M90" s="395">
        <f t="shared" si="22"/>
        <v>0</v>
      </c>
      <c r="N90" s="415"/>
      <c r="O90" s="393">
        <v>1.9827586206896599</v>
      </c>
      <c r="P90" s="393">
        <v>0.9</v>
      </c>
      <c r="Q90" s="393">
        <f t="shared" si="23"/>
        <v>0.26</v>
      </c>
      <c r="R90" s="393">
        <f t="shared" si="24"/>
        <v>3.1427586206896603</v>
      </c>
      <c r="S90" s="370"/>
    </row>
    <row r="91" spans="1:22" ht="21" outlineLevel="1">
      <c r="A91" s="392" t="s">
        <v>1235</v>
      </c>
      <c r="B91" s="392" t="s">
        <v>1243</v>
      </c>
      <c r="C91" s="392" t="s">
        <v>1059</v>
      </c>
      <c r="D91" s="388" t="s">
        <v>1238</v>
      </c>
      <c r="E91" s="388" t="s">
        <v>1244</v>
      </c>
      <c r="F91" s="388" t="s">
        <v>1240</v>
      </c>
      <c r="G91" s="292" t="s">
        <v>1063</v>
      </c>
      <c r="H91" s="395"/>
      <c r="I91" s="395"/>
      <c r="J91" s="395">
        <f t="shared" si="19"/>
        <v>0</v>
      </c>
      <c r="K91" s="395">
        <f t="shared" si="20"/>
        <v>0</v>
      </c>
      <c r="L91" s="395">
        <f t="shared" si="21"/>
        <v>0</v>
      </c>
      <c r="M91" s="395">
        <f t="shared" si="22"/>
        <v>0</v>
      </c>
      <c r="N91" s="415"/>
      <c r="O91" s="393">
        <v>2.93965517241379</v>
      </c>
      <c r="P91" s="393">
        <v>1</v>
      </c>
      <c r="Q91" s="393">
        <f t="shared" si="23"/>
        <v>0.35</v>
      </c>
      <c r="R91" s="393">
        <f t="shared" si="24"/>
        <v>4.2896551724137897</v>
      </c>
      <c r="S91" s="370"/>
    </row>
    <row r="92" spans="1:22" ht="21" outlineLevel="1">
      <c r="A92" s="392" t="s">
        <v>1235</v>
      </c>
      <c r="B92" s="392" t="s">
        <v>1245</v>
      </c>
      <c r="C92" s="392" t="s">
        <v>1059</v>
      </c>
      <c r="D92" s="388" t="s">
        <v>1238</v>
      </c>
      <c r="E92" s="388" t="s">
        <v>1246</v>
      </c>
      <c r="F92" s="388" t="s">
        <v>1240</v>
      </c>
      <c r="G92" s="292" t="s">
        <v>1063</v>
      </c>
      <c r="H92" s="395"/>
      <c r="I92" s="395"/>
      <c r="J92" s="395">
        <f t="shared" si="19"/>
        <v>0</v>
      </c>
      <c r="K92" s="395">
        <f t="shared" si="20"/>
        <v>0</v>
      </c>
      <c r="L92" s="395">
        <f t="shared" si="21"/>
        <v>0</v>
      </c>
      <c r="M92" s="395">
        <f t="shared" si="22"/>
        <v>0</v>
      </c>
      <c r="N92" s="415"/>
      <c r="O92" s="393">
        <v>5.0172413793103496</v>
      </c>
      <c r="P92" s="393">
        <v>1.8</v>
      </c>
      <c r="Q92" s="393">
        <f t="shared" si="23"/>
        <v>0.61</v>
      </c>
      <c r="R92" s="393">
        <f t="shared" si="24"/>
        <v>7.4272413793103498</v>
      </c>
      <c r="S92" s="370"/>
    </row>
    <row r="93" spans="1:22" ht="21" outlineLevel="1">
      <c r="A93" s="392" t="s">
        <v>1235</v>
      </c>
      <c r="B93" s="392" t="s">
        <v>1247</v>
      </c>
      <c r="C93" s="392" t="s">
        <v>1059</v>
      </c>
      <c r="D93" s="388" t="s">
        <v>1238</v>
      </c>
      <c r="E93" s="388" t="s">
        <v>1248</v>
      </c>
      <c r="F93" s="388" t="s">
        <v>1240</v>
      </c>
      <c r="G93" s="292" t="s">
        <v>1063</v>
      </c>
      <c r="H93" s="395"/>
      <c r="I93" s="395"/>
      <c r="J93" s="395">
        <f t="shared" si="19"/>
        <v>0</v>
      </c>
      <c r="K93" s="395">
        <f t="shared" si="20"/>
        <v>0</v>
      </c>
      <c r="L93" s="395">
        <f t="shared" si="21"/>
        <v>0</v>
      </c>
      <c r="M93" s="395">
        <f t="shared" si="22"/>
        <v>0</v>
      </c>
      <c r="N93" s="415"/>
      <c r="O93" s="393">
        <v>7.8189655172413799</v>
      </c>
      <c r="P93" s="393">
        <v>2</v>
      </c>
      <c r="Q93" s="393">
        <f t="shared" si="23"/>
        <v>0.88</v>
      </c>
      <c r="R93" s="393">
        <f t="shared" si="24"/>
        <v>10.698965517241382</v>
      </c>
      <c r="S93" s="370"/>
    </row>
    <row r="94" spans="1:22" ht="21" outlineLevel="1">
      <c r="A94" s="392" t="s">
        <v>1235</v>
      </c>
      <c r="B94" s="392" t="s">
        <v>1249</v>
      </c>
      <c r="C94" s="392" t="s">
        <v>1059</v>
      </c>
      <c r="D94" s="388" t="s">
        <v>1238</v>
      </c>
      <c r="E94" s="388" t="s">
        <v>1250</v>
      </c>
      <c r="F94" s="388" t="s">
        <v>1240</v>
      </c>
      <c r="G94" s="292" t="s">
        <v>1063</v>
      </c>
      <c r="H94" s="395"/>
      <c r="I94" s="395"/>
      <c r="J94" s="395">
        <f t="shared" si="19"/>
        <v>0</v>
      </c>
      <c r="K94" s="395">
        <f t="shared" si="20"/>
        <v>0</v>
      </c>
      <c r="L94" s="395">
        <f t="shared" si="21"/>
        <v>0</v>
      </c>
      <c r="M94" s="395">
        <f t="shared" si="22"/>
        <v>0</v>
      </c>
      <c r="N94" s="415"/>
      <c r="O94" s="393">
        <v>12.267241379310301</v>
      </c>
      <c r="P94" s="393">
        <v>2.5</v>
      </c>
      <c r="Q94" s="393">
        <f t="shared" si="23"/>
        <v>1.33</v>
      </c>
      <c r="R94" s="393">
        <f t="shared" si="24"/>
        <v>16.097241379310301</v>
      </c>
      <c r="S94" s="370"/>
    </row>
    <row r="95" spans="1:22" ht="21" outlineLevel="1">
      <c r="A95" s="392" t="s">
        <v>1235</v>
      </c>
      <c r="B95" s="392" t="s">
        <v>1251</v>
      </c>
      <c r="C95" s="392" t="s">
        <v>1059</v>
      </c>
      <c r="D95" s="388" t="s">
        <v>1238</v>
      </c>
      <c r="E95" s="388" t="s">
        <v>1252</v>
      </c>
      <c r="F95" s="388" t="s">
        <v>1240</v>
      </c>
      <c r="G95" s="292" t="s">
        <v>1063</v>
      </c>
      <c r="H95" s="395"/>
      <c r="I95" s="395"/>
      <c r="J95" s="395">
        <f t="shared" si="19"/>
        <v>0</v>
      </c>
      <c r="K95" s="395">
        <f t="shared" si="20"/>
        <v>0</v>
      </c>
      <c r="L95" s="395">
        <f t="shared" si="21"/>
        <v>0</v>
      </c>
      <c r="M95" s="395">
        <f t="shared" si="22"/>
        <v>0</v>
      </c>
      <c r="N95" s="415"/>
      <c r="O95" s="393">
        <v>1.5948275862068999</v>
      </c>
      <c r="P95" s="393">
        <f t="shared" ref="P95:P98" si="25">P89</f>
        <v>0.85</v>
      </c>
      <c r="Q95" s="393">
        <f t="shared" si="23"/>
        <v>0.22</v>
      </c>
      <c r="R95" s="393">
        <f t="shared" si="24"/>
        <v>2.6648275862069002</v>
      </c>
      <c r="S95" s="370"/>
    </row>
    <row r="96" spans="1:22" ht="21" outlineLevel="1">
      <c r="A96" s="392" t="s">
        <v>1235</v>
      </c>
      <c r="B96" s="392" t="s">
        <v>1253</v>
      </c>
      <c r="C96" s="392" t="s">
        <v>1059</v>
      </c>
      <c r="D96" s="388" t="s">
        <v>1238</v>
      </c>
      <c r="E96" s="388" t="s">
        <v>1254</v>
      </c>
      <c r="F96" s="388" t="s">
        <v>1240</v>
      </c>
      <c r="G96" s="292" t="s">
        <v>1063</v>
      </c>
      <c r="H96" s="395"/>
      <c r="I96" s="395"/>
      <c r="J96" s="395">
        <f t="shared" si="19"/>
        <v>0</v>
      </c>
      <c r="K96" s="395">
        <f t="shared" si="20"/>
        <v>0</v>
      </c>
      <c r="L96" s="395">
        <f t="shared" si="21"/>
        <v>0</v>
      </c>
      <c r="M96" s="395">
        <f t="shared" si="22"/>
        <v>0</v>
      </c>
      <c r="N96" s="415"/>
      <c r="O96" s="393">
        <v>2.5086206896551699</v>
      </c>
      <c r="P96" s="393">
        <f t="shared" si="25"/>
        <v>0.9</v>
      </c>
      <c r="Q96" s="393">
        <f t="shared" si="23"/>
        <v>0.31</v>
      </c>
      <c r="R96" s="393">
        <f t="shared" si="24"/>
        <v>3.7186206896551699</v>
      </c>
      <c r="S96" s="370"/>
    </row>
    <row r="97" spans="1:19" ht="21" outlineLevel="1">
      <c r="A97" s="392" t="s">
        <v>1235</v>
      </c>
      <c r="B97" s="392" t="s">
        <v>1255</v>
      </c>
      <c r="C97" s="392" t="s">
        <v>1059</v>
      </c>
      <c r="D97" s="388" t="s">
        <v>1238</v>
      </c>
      <c r="E97" s="388" t="s">
        <v>1256</v>
      </c>
      <c r="F97" s="388" t="s">
        <v>1240</v>
      </c>
      <c r="G97" s="292" t="s">
        <v>1063</v>
      </c>
      <c r="H97" s="395"/>
      <c r="I97" s="395"/>
      <c r="J97" s="395">
        <f t="shared" si="19"/>
        <v>0</v>
      </c>
      <c r="K97" s="395">
        <f t="shared" si="20"/>
        <v>0</v>
      </c>
      <c r="L97" s="395">
        <f t="shared" si="21"/>
        <v>0</v>
      </c>
      <c r="M97" s="395">
        <f t="shared" si="22"/>
        <v>0</v>
      </c>
      <c r="N97" s="415"/>
      <c r="O97" s="393">
        <v>3.56034482758621</v>
      </c>
      <c r="P97" s="393">
        <f t="shared" si="25"/>
        <v>1</v>
      </c>
      <c r="Q97" s="393">
        <f t="shared" si="23"/>
        <v>0.41</v>
      </c>
      <c r="R97" s="393">
        <f t="shared" si="24"/>
        <v>4.9703448275862101</v>
      </c>
      <c r="S97" s="370"/>
    </row>
    <row r="98" spans="1:19" ht="21" outlineLevel="1">
      <c r="A98" s="392" t="s">
        <v>1235</v>
      </c>
      <c r="B98" s="392" t="s">
        <v>1257</v>
      </c>
      <c r="C98" s="392" t="s">
        <v>1059</v>
      </c>
      <c r="D98" s="388" t="s">
        <v>1238</v>
      </c>
      <c r="E98" s="388" t="s">
        <v>1258</v>
      </c>
      <c r="F98" s="388" t="s">
        <v>1240</v>
      </c>
      <c r="G98" s="292" t="s">
        <v>1063</v>
      </c>
      <c r="H98" s="395"/>
      <c r="I98" s="395"/>
      <c r="J98" s="395">
        <f t="shared" si="19"/>
        <v>0</v>
      </c>
      <c r="K98" s="395">
        <f t="shared" si="20"/>
        <v>0</v>
      </c>
      <c r="L98" s="395">
        <f t="shared" si="21"/>
        <v>0</v>
      </c>
      <c r="M98" s="395">
        <f t="shared" si="22"/>
        <v>0</v>
      </c>
      <c r="N98" s="415"/>
      <c r="O98" s="393">
        <v>6.0862068965517198</v>
      </c>
      <c r="P98" s="393">
        <f t="shared" si="25"/>
        <v>1.8</v>
      </c>
      <c r="Q98" s="393">
        <f t="shared" si="23"/>
        <v>0.71</v>
      </c>
      <c r="R98" s="393">
        <f t="shared" si="24"/>
        <v>8.5962068965517204</v>
      </c>
      <c r="S98" s="370"/>
    </row>
    <row r="99" spans="1:19" ht="21" outlineLevel="1">
      <c r="A99" s="392" t="s">
        <v>1235</v>
      </c>
      <c r="B99" s="392" t="s">
        <v>1259</v>
      </c>
      <c r="C99" s="392" t="s">
        <v>1059</v>
      </c>
      <c r="D99" s="388" t="s">
        <v>1238</v>
      </c>
      <c r="E99" s="388" t="s">
        <v>1260</v>
      </c>
      <c r="F99" s="388" t="s">
        <v>1240</v>
      </c>
      <c r="G99" s="292" t="s">
        <v>1063</v>
      </c>
      <c r="H99" s="395"/>
      <c r="I99" s="395"/>
      <c r="J99" s="395">
        <f t="shared" si="19"/>
        <v>0</v>
      </c>
      <c r="K99" s="395">
        <f t="shared" si="20"/>
        <v>0</v>
      </c>
      <c r="L99" s="395">
        <f t="shared" si="21"/>
        <v>0</v>
      </c>
      <c r="M99" s="395">
        <f t="shared" si="22"/>
        <v>0</v>
      </c>
      <c r="N99" s="415"/>
      <c r="O99" s="393">
        <v>1.2844827586206899</v>
      </c>
      <c r="P99" s="393">
        <f t="shared" ref="P99:P103" si="26">P89</f>
        <v>0.85</v>
      </c>
      <c r="Q99" s="393">
        <f t="shared" si="23"/>
        <v>0.19</v>
      </c>
      <c r="R99" s="393">
        <f t="shared" si="24"/>
        <v>2.32448275862069</v>
      </c>
      <c r="S99" s="370"/>
    </row>
    <row r="100" spans="1:19" ht="21" outlineLevel="1">
      <c r="A100" s="392" t="s">
        <v>1235</v>
      </c>
      <c r="B100" s="392" t="s">
        <v>1261</v>
      </c>
      <c r="C100" s="392" t="s">
        <v>1059</v>
      </c>
      <c r="D100" s="388" t="s">
        <v>1238</v>
      </c>
      <c r="E100" s="388" t="s">
        <v>1262</v>
      </c>
      <c r="F100" s="388" t="s">
        <v>1240</v>
      </c>
      <c r="G100" s="292" t="s">
        <v>1063</v>
      </c>
      <c r="H100" s="395"/>
      <c r="I100" s="395"/>
      <c r="J100" s="395">
        <f t="shared" si="19"/>
        <v>0</v>
      </c>
      <c r="K100" s="395">
        <f t="shared" si="20"/>
        <v>0</v>
      </c>
      <c r="L100" s="395">
        <f t="shared" si="21"/>
        <v>0</v>
      </c>
      <c r="M100" s="395">
        <f t="shared" si="22"/>
        <v>0</v>
      </c>
      <c r="N100" s="415"/>
      <c r="O100" s="393">
        <v>2.02586206896552</v>
      </c>
      <c r="P100" s="393">
        <f t="shared" si="26"/>
        <v>0.9</v>
      </c>
      <c r="Q100" s="393">
        <f t="shared" si="23"/>
        <v>0.26</v>
      </c>
      <c r="R100" s="393">
        <f t="shared" si="24"/>
        <v>3.1858620689655197</v>
      </c>
      <c r="S100" s="370"/>
    </row>
    <row r="101" spans="1:19" ht="21" outlineLevel="1">
      <c r="A101" s="392" t="s">
        <v>1235</v>
      </c>
      <c r="B101" s="392" t="s">
        <v>1263</v>
      </c>
      <c r="C101" s="392" t="s">
        <v>1059</v>
      </c>
      <c r="D101" s="388" t="s">
        <v>1238</v>
      </c>
      <c r="E101" s="388" t="s">
        <v>1264</v>
      </c>
      <c r="F101" s="388" t="s">
        <v>1240</v>
      </c>
      <c r="G101" s="292" t="s">
        <v>1063</v>
      </c>
      <c r="H101" s="395"/>
      <c r="I101" s="395"/>
      <c r="J101" s="395">
        <f t="shared" si="19"/>
        <v>0</v>
      </c>
      <c r="K101" s="395">
        <f t="shared" si="20"/>
        <v>0</v>
      </c>
      <c r="L101" s="395">
        <f t="shared" si="21"/>
        <v>0</v>
      </c>
      <c r="M101" s="395">
        <f t="shared" si="22"/>
        <v>0</v>
      </c>
      <c r="N101" s="415"/>
      <c r="O101" s="393">
        <v>5.1206896551724101</v>
      </c>
      <c r="P101" s="393">
        <f t="shared" si="26"/>
        <v>1</v>
      </c>
      <c r="Q101" s="393">
        <f t="shared" si="23"/>
        <v>0.55000000000000004</v>
      </c>
      <c r="R101" s="393">
        <f t="shared" si="24"/>
        <v>6.67068965517241</v>
      </c>
      <c r="S101" s="370"/>
    </row>
    <row r="102" spans="1:19" ht="21" outlineLevel="1">
      <c r="A102" s="392" t="s">
        <v>1235</v>
      </c>
      <c r="B102" s="392" t="s">
        <v>1265</v>
      </c>
      <c r="C102" s="392" t="s">
        <v>1059</v>
      </c>
      <c r="D102" s="388" t="s">
        <v>1238</v>
      </c>
      <c r="E102" s="388" t="s">
        <v>1266</v>
      </c>
      <c r="F102" s="388" t="s">
        <v>1240</v>
      </c>
      <c r="G102" s="292" t="s">
        <v>1063</v>
      </c>
      <c r="H102" s="395"/>
      <c r="I102" s="395"/>
      <c r="J102" s="395">
        <f t="shared" si="19"/>
        <v>0</v>
      </c>
      <c r="K102" s="395">
        <f t="shared" si="20"/>
        <v>0</v>
      </c>
      <c r="L102" s="395">
        <f t="shared" si="21"/>
        <v>0</v>
      </c>
      <c r="M102" s="395">
        <f t="shared" si="22"/>
        <v>0</v>
      </c>
      <c r="N102" s="415"/>
      <c r="O102" s="393">
        <v>7.9741379310344804</v>
      </c>
      <c r="P102" s="393">
        <f t="shared" si="26"/>
        <v>1.8</v>
      </c>
      <c r="Q102" s="393">
        <f t="shared" si="23"/>
        <v>0.88</v>
      </c>
      <c r="R102" s="393">
        <f t="shared" si="24"/>
        <v>10.654137931034482</v>
      </c>
      <c r="S102" s="370"/>
    </row>
    <row r="103" spans="1:19" ht="21" outlineLevel="1">
      <c r="A103" s="392" t="s">
        <v>1235</v>
      </c>
      <c r="B103" s="392" t="s">
        <v>1267</v>
      </c>
      <c r="C103" s="392" t="s">
        <v>1059</v>
      </c>
      <c r="D103" s="388" t="s">
        <v>1238</v>
      </c>
      <c r="E103" s="388" t="s">
        <v>1268</v>
      </c>
      <c r="F103" s="388" t="s">
        <v>1240</v>
      </c>
      <c r="G103" s="292" t="s">
        <v>1063</v>
      </c>
      <c r="H103" s="395"/>
      <c r="I103" s="395"/>
      <c r="J103" s="395">
        <f t="shared" si="19"/>
        <v>0</v>
      </c>
      <c r="K103" s="395">
        <f t="shared" si="20"/>
        <v>0</v>
      </c>
      <c r="L103" s="395">
        <f t="shared" si="21"/>
        <v>0</v>
      </c>
      <c r="M103" s="395">
        <f t="shared" si="22"/>
        <v>0</v>
      </c>
      <c r="N103" s="415"/>
      <c r="O103" s="393">
        <f>O94*1.02</f>
        <v>12.512586206896508</v>
      </c>
      <c r="P103" s="393">
        <f t="shared" si="26"/>
        <v>2</v>
      </c>
      <c r="Q103" s="393">
        <f t="shared" si="23"/>
        <v>1.31</v>
      </c>
      <c r="R103" s="393">
        <f t="shared" si="24"/>
        <v>15.822586206896508</v>
      </c>
      <c r="S103" s="370"/>
    </row>
    <row r="104" spans="1:19" ht="21" outlineLevel="1">
      <c r="A104" s="392" t="s">
        <v>1235</v>
      </c>
      <c r="B104" s="392" t="s">
        <v>1269</v>
      </c>
      <c r="C104" s="392" t="s">
        <v>1059</v>
      </c>
      <c r="D104" s="388" t="s">
        <v>1238</v>
      </c>
      <c r="E104" s="388" t="s">
        <v>1270</v>
      </c>
      <c r="F104" s="388" t="s">
        <v>1240</v>
      </c>
      <c r="G104" s="292" t="s">
        <v>1063</v>
      </c>
      <c r="H104" s="395">
        <f>26846.75</f>
        <v>26846.75</v>
      </c>
      <c r="I104" s="395">
        <f>1573.45+152.74</f>
        <v>1726.19</v>
      </c>
      <c r="J104" s="395">
        <f t="shared" si="19"/>
        <v>71773.397500000036</v>
      </c>
      <c r="K104" s="395">
        <f t="shared" si="20"/>
        <v>71773.397500000036</v>
      </c>
      <c r="L104" s="395">
        <f t="shared" si="21"/>
        <v>4614.8796793103465</v>
      </c>
      <c r="M104" s="395">
        <f t="shared" si="22"/>
        <v>4614.8796793103465</v>
      </c>
      <c r="N104" s="415"/>
      <c r="O104" s="393">
        <v>1.6034482758620701</v>
      </c>
      <c r="P104" s="393">
        <f t="shared" ref="P104:P108" si="27">P89</f>
        <v>0.85</v>
      </c>
      <c r="Q104" s="393">
        <f t="shared" si="23"/>
        <v>0.22</v>
      </c>
      <c r="R104" s="393">
        <f t="shared" si="24"/>
        <v>2.6734482758620701</v>
      </c>
      <c r="S104" s="370"/>
    </row>
    <row r="105" spans="1:19" ht="21" outlineLevel="1">
      <c r="A105" s="392" t="s">
        <v>1235</v>
      </c>
      <c r="B105" s="392" t="s">
        <v>1271</v>
      </c>
      <c r="C105" s="392" t="s">
        <v>1059</v>
      </c>
      <c r="D105" s="388" t="s">
        <v>1238</v>
      </c>
      <c r="E105" s="388" t="s">
        <v>1272</v>
      </c>
      <c r="F105" s="388" t="s">
        <v>1240</v>
      </c>
      <c r="G105" s="292" t="s">
        <v>1063</v>
      </c>
      <c r="H105" s="395">
        <f>555.85</f>
        <v>555.85</v>
      </c>
      <c r="I105" s="395">
        <v>1932.3</v>
      </c>
      <c r="J105" s="395">
        <f t="shared" si="19"/>
        <v>2042.2695689655156</v>
      </c>
      <c r="K105" s="395">
        <f t="shared" si="20"/>
        <v>2042.2695689655156</v>
      </c>
      <c r="L105" s="395">
        <f t="shared" si="21"/>
        <v>7099.5367241379254</v>
      </c>
      <c r="M105" s="395">
        <f t="shared" si="22"/>
        <v>7099.5367241379254</v>
      </c>
      <c r="N105" s="415"/>
      <c r="O105" s="393">
        <v>2.47413793103448</v>
      </c>
      <c r="P105" s="393">
        <f t="shared" si="27"/>
        <v>0.9</v>
      </c>
      <c r="Q105" s="393">
        <f t="shared" si="23"/>
        <v>0.3</v>
      </c>
      <c r="R105" s="393">
        <f t="shared" si="24"/>
        <v>3.6741379310344797</v>
      </c>
      <c r="S105" s="370"/>
    </row>
    <row r="106" spans="1:19" ht="21" outlineLevel="1">
      <c r="A106" s="392" t="s">
        <v>1235</v>
      </c>
      <c r="B106" s="392" t="s">
        <v>1273</v>
      </c>
      <c r="C106" s="392" t="s">
        <v>1059</v>
      </c>
      <c r="D106" s="388" t="s">
        <v>1238</v>
      </c>
      <c r="E106" s="388" t="s">
        <v>1274</v>
      </c>
      <c r="F106" s="388" t="s">
        <v>1240</v>
      </c>
      <c r="G106" s="292" t="s">
        <v>1063</v>
      </c>
      <c r="H106" s="395"/>
      <c r="I106" s="395">
        <v>204.81</v>
      </c>
      <c r="J106" s="395">
        <f t="shared" si="19"/>
        <v>0</v>
      </c>
      <c r="K106" s="395">
        <f t="shared" si="20"/>
        <v>0</v>
      </c>
      <c r="L106" s="395">
        <f t="shared" si="21"/>
        <v>1039.4460620689647</v>
      </c>
      <c r="M106" s="395">
        <f t="shared" si="22"/>
        <v>1039.4460620689647</v>
      </c>
      <c r="N106" s="415"/>
      <c r="O106" s="393">
        <v>3.6551724137931001</v>
      </c>
      <c r="P106" s="393">
        <f t="shared" si="27"/>
        <v>1</v>
      </c>
      <c r="Q106" s="393">
        <f t="shared" si="23"/>
        <v>0.42</v>
      </c>
      <c r="R106" s="393">
        <f t="shared" si="24"/>
        <v>5.0751724137930996</v>
      </c>
      <c r="S106" s="370"/>
    </row>
    <row r="107" spans="1:19" ht="21" outlineLevel="1">
      <c r="A107" s="392" t="s">
        <v>1235</v>
      </c>
      <c r="B107" s="392" t="s">
        <v>1275</v>
      </c>
      <c r="C107" s="392" t="s">
        <v>1059</v>
      </c>
      <c r="D107" s="388" t="s">
        <v>1238</v>
      </c>
      <c r="E107" s="388" t="s">
        <v>1276</v>
      </c>
      <c r="F107" s="388" t="s">
        <v>1240</v>
      </c>
      <c r="G107" s="292" t="s">
        <v>1063</v>
      </c>
      <c r="H107" s="395">
        <f>34584.06</f>
        <v>34584.06</v>
      </c>
      <c r="I107" s="395"/>
      <c r="J107" s="395">
        <f t="shared" si="19"/>
        <v>298484.28887586197</v>
      </c>
      <c r="K107" s="395">
        <f t="shared" si="20"/>
        <v>298484.28887586197</v>
      </c>
      <c r="L107" s="395">
        <f t="shared" si="21"/>
        <v>0</v>
      </c>
      <c r="M107" s="395">
        <f t="shared" si="22"/>
        <v>0</v>
      </c>
      <c r="N107" s="415"/>
      <c r="O107" s="393">
        <v>6.1206896551724101</v>
      </c>
      <c r="P107" s="393">
        <f t="shared" si="27"/>
        <v>1.8</v>
      </c>
      <c r="Q107" s="393">
        <f t="shared" si="23"/>
        <v>0.71</v>
      </c>
      <c r="R107" s="393">
        <f t="shared" si="24"/>
        <v>8.6306896551724108</v>
      </c>
      <c r="S107" s="370"/>
    </row>
    <row r="108" spans="1:19" ht="21" outlineLevel="1">
      <c r="A108" s="392" t="s">
        <v>1235</v>
      </c>
      <c r="B108" s="392" t="s">
        <v>1277</v>
      </c>
      <c r="C108" s="392" t="s">
        <v>1059</v>
      </c>
      <c r="D108" s="388" t="s">
        <v>1238</v>
      </c>
      <c r="E108" s="388" t="s">
        <v>1278</v>
      </c>
      <c r="F108" s="388" t="s">
        <v>1240</v>
      </c>
      <c r="G108" s="292" t="s">
        <v>1063</v>
      </c>
      <c r="H108" s="395">
        <v>37581.99</v>
      </c>
      <c r="I108" s="395"/>
      <c r="J108" s="395">
        <f t="shared" si="19"/>
        <v>472898.06796206889</v>
      </c>
      <c r="K108" s="395">
        <f t="shared" si="20"/>
        <v>472898.06796206889</v>
      </c>
      <c r="L108" s="395">
        <f t="shared" si="21"/>
        <v>0</v>
      </c>
      <c r="M108" s="395">
        <f t="shared" si="22"/>
        <v>0</v>
      </c>
      <c r="N108" s="415"/>
      <c r="O108" s="393">
        <v>9.5431034482758594</v>
      </c>
      <c r="P108" s="393">
        <f t="shared" si="27"/>
        <v>2</v>
      </c>
      <c r="Q108" s="393">
        <f t="shared" si="23"/>
        <v>1.04</v>
      </c>
      <c r="R108" s="393">
        <f t="shared" si="24"/>
        <v>12.58310344827586</v>
      </c>
      <c r="S108" s="370"/>
    </row>
    <row r="109" spans="1:19" ht="31.5" outlineLevel="1">
      <c r="A109" s="396" t="s">
        <v>1235</v>
      </c>
      <c r="B109" s="392" t="s">
        <v>1279</v>
      </c>
      <c r="C109" s="396" t="s">
        <v>1059</v>
      </c>
      <c r="D109" s="397" t="s">
        <v>1238</v>
      </c>
      <c r="E109" s="397" t="s">
        <v>1280</v>
      </c>
      <c r="F109" s="397" t="s">
        <v>1240</v>
      </c>
      <c r="G109" s="398" t="s">
        <v>1063</v>
      </c>
      <c r="H109" s="395">
        <f>63582.76</f>
        <v>63582.76</v>
      </c>
      <c r="I109" s="395">
        <v>10655.85</v>
      </c>
      <c r="J109" s="395">
        <f t="shared" si="19"/>
        <v>192721.53806896548</v>
      </c>
      <c r="K109" s="395">
        <f t="shared" si="20"/>
        <v>192721.53806896548</v>
      </c>
      <c r="L109" s="395">
        <f t="shared" si="21"/>
        <v>32298.248793103445</v>
      </c>
      <c r="M109" s="395">
        <f t="shared" si="22"/>
        <v>32298.248793103445</v>
      </c>
      <c r="N109" s="415"/>
      <c r="O109" s="393">
        <v>1.9310344827586201</v>
      </c>
      <c r="P109" s="393">
        <f t="shared" ref="P109:P113" si="28">P104</f>
        <v>0.85</v>
      </c>
      <c r="Q109" s="393">
        <f t="shared" si="23"/>
        <v>0.25</v>
      </c>
      <c r="R109" s="393">
        <f t="shared" si="24"/>
        <v>3.0310344827586202</v>
      </c>
      <c r="S109" s="370"/>
    </row>
    <row r="110" spans="1:19" ht="21" outlineLevel="1">
      <c r="A110" s="396" t="s">
        <v>1235</v>
      </c>
      <c r="B110" s="392" t="s">
        <v>1281</v>
      </c>
      <c r="C110" s="396" t="s">
        <v>1059</v>
      </c>
      <c r="D110" s="397" t="s">
        <v>1238</v>
      </c>
      <c r="E110" s="397" t="s">
        <v>1282</v>
      </c>
      <c r="F110" s="397" t="s">
        <v>1240</v>
      </c>
      <c r="G110" s="398" t="s">
        <v>1063</v>
      </c>
      <c r="H110" s="395"/>
      <c r="I110" s="395"/>
      <c r="J110" s="395">
        <f t="shared" si="19"/>
        <v>0</v>
      </c>
      <c r="K110" s="395">
        <f t="shared" si="20"/>
        <v>0</v>
      </c>
      <c r="L110" s="395">
        <f t="shared" si="21"/>
        <v>0</v>
      </c>
      <c r="M110" s="395">
        <f t="shared" si="22"/>
        <v>0</v>
      </c>
      <c r="N110" s="415"/>
      <c r="O110" s="393">
        <v>2.97413793103448</v>
      </c>
      <c r="P110" s="393">
        <f t="shared" si="28"/>
        <v>0.9</v>
      </c>
      <c r="Q110" s="393">
        <f t="shared" si="23"/>
        <v>0.35</v>
      </c>
      <c r="R110" s="393">
        <f t="shared" si="24"/>
        <v>4.2241379310344795</v>
      </c>
      <c r="S110" s="370"/>
    </row>
    <row r="111" spans="1:19" ht="21" outlineLevel="1">
      <c r="A111" s="396" t="s">
        <v>1235</v>
      </c>
      <c r="B111" s="392" t="s">
        <v>1283</v>
      </c>
      <c r="C111" s="396" t="s">
        <v>1059</v>
      </c>
      <c r="D111" s="397" t="s">
        <v>1238</v>
      </c>
      <c r="E111" s="397" t="s">
        <v>1284</v>
      </c>
      <c r="F111" s="397" t="s">
        <v>1240</v>
      </c>
      <c r="G111" s="398" t="s">
        <v>1063</v>
      </c>
      <c r="H111" s="395"/>
      <c r="I111" s="395"/>
      <c r="J111" s="395">
        <f t="shared" si="19"/>
        <v>0</v>
      </c>
      <c r="K111" s="395">
        <f t="shared" si="20"/>
        <v>0</v>
      </c>
      <c r="L111" s="395">
        <f t="shared" si="21"/>
        <v>0</v>
      </c>
      <c r="M111" s="395">
        <f t="shared" si="22"/>
        <v>0</v>
      </c>
      <c r="N111" s="415"/>
      <c r="O111" s="393">
        <v>4.3793103448275899</v>
      </c>
      <c r="P111" s="393">
        <f t="shared" si="28"/>
        <v>1</v>
      </c>
      <c r="Q111" s="393">
        <f t="shared" si="23"/>
        <v>0.48</v>
      </c>
      <c r="R111" s="393">
        <f t="shared" si="24"/>
        <v>5.8593103448275894</v>
      </c>
      <c r="S111" s="370"/>
    </row>
    <row r="112" spans="1:19" ht="31.5" outlineLevel="1">
      <c r="A112" s="396" t="s">
        <v>1235</v>
      </c>
      <c r="B112" s="392" t="s">
        <v>1285</v>
      </c>
      <c r="C112" s="396" t="s">
        <v>1059</v>
      </c>
      <c r="D112" s="397" t="s">
        <v>1238</v>
      </c>
      <c r="E112" s="397" t="s">
        <v>1286</v>
      </c>
      <c r="F112" s="397" t="s">
        <v>1240</v>
      </c>
      <c r="G112" s="398" t="s">
        <v>1063</v>
      </c>
      <c r="H112" s="395"/>
      <c r="I112" s="395"/>
      <c r="J112" s="395">
        <f t="shared" si="19"/>
        <v>0</v>
      </c>
      <c r="K112" s="395">
        <f t="shared" si="20"/>
        <v>0</v>
      </c>
      <c r="L112" s="395">
        <f t="shared" si="21"/>
        <v>0</v>
      </c>
      <c r="M112" s="395">
        <f t="shared" si="22"/>
        <v>0</v>
      </c>
      <c r="N112" s="415"/>
      <c r="O112" s="393">
        <v>7.3362068965517198</v>
      </c>
      <c r="P112" s="393">
        <f t="shared" si="28"/>
        <v>1.8</v>
      </c>
      <c r="Q112" s="393">
        <f t="shared" si="23"/>
        <v>0.82</v>
      </c>
      <c r="R112" s="393">
        <f t="shared" si="24"/>
        <v>9.9562068965517199</v>
      </c>
      <c r="S112" s="370"/>
    </row>
    <row r="113" spans="1:19" ht="31.5" outlineLevel="1">
      <c r="A113" s="396" t="s">
        <v>1235</v>
      </c>
      <c r="B113" s="392" t="s">
        <v>1287</v>
      </c>
      <c r="C113" s="396" t="s">
        <v>1059</v>
      </c>
      <c r="D113" s="397" t="s">
        <v>1238</v>
      </c>
      <c r="E113" s="397" t="s">
        <v>1288</v>
      </c>
      <c r="F113" s="397" t="s">
        <v>1240</v>
      </c>
      <c r="G113" s="398" t="s">
        <v>1063</v>
      </c>
      <c r="H113" s="395"/>
      <c r="I113" s="395"/>
      <c r="J113" s="395">
        <f t="shared" si="19"/>
        <v>0</v>
      </c>
      <c r="K113" s="395">
        <f t="shared" si="20"/>
        <v>0</v>
      </c>
      <c r="L113" s="395">
        <f t="shared" si="21"/>
        <v>0</v>
      </c>
      <c r="M113" s="395">
        <f t="shared" si="22"/>
        <v>0</v>
      </c>
      <c r="N113" s="415"/>
      <c r="O113" s="393">
        <v>11.448275862069</v>
      </c>
      <c r="P113" s="393">
        <f t="shared" si="28"/>
        <v>2</v>
      </c>
      <c r="Q113" s="393">
        <f t="shared" si="23"/>
        <v>1.21</v>
      </c>
      <c r="R113" s="393">
        <f t="shared" si="24"/>
        <v>14.658275862069001</v>
      </c>
      <c r="S113" s="370"/>
    </row>
    <row r="114" spans="1:19" ht="21" outlineLevel="1">
      <c r="A114" s="396" t="s">
        <v>1235</v>
      </c>
      <c r="B114" s="392" t="s">
        <v>1289</v>
      </c>
      <c r="C114" s="396" t="s">
        <v>1059</v>
      </c>
      <c r="D114" s="397" t="s">
        <v>1238</v>
      </c>
      <c r="E114" s="397" t="s">
        <v>1290</v>
      </c>
      <c r="F114" s="397" t="s">
        <v>1240</v>
      </c>
      <c r="G114" s="398" t="s">
        <v>1063</v>
      </c>
      <c r="H114" s="395"/>
      <c r="I114" s="395"/>
      <c r="J114" s="395">
        <f t="shared" si="19"/>
        <v>0</v>
      </c>
      <c r="K114" s="395">
        <f t="shared" si="20"/>
        <v>0</v>
      </c>
      <c r="L114" s="395">
        <f t="shared" si="21"/>
        <v>0</v>
      </c>
      <c r="M114" s="395">
        <f t="shared" si="22"/>
        <v>0</v>
      </c>
      <c r="N114" s="415"/>
      <c r="O114" s="393">
        <v>1.3793103448275901</v>
      </c>
      <c r="P114" s="393">
        <f>P104</f>
        <v>0.85</v>
      </c>
      <c r="Q114" s="393">
        <f t="shared" si="23"/>
        <v>0.2</v>
      </c>
      <c r="R114" s="393">
        <f t="shared" si="24"/>
        <v>2.4293103448275901</v>
      </c>
      <c r="S114" s="370"/>
    </row>
    <row r="115" spans="1:19">
      <c r="A115" s="392" t="s">
        <v>1177</v>
      </c>
      <c r="B115" s="392" t="s">
        <v>1291</v>
      </c>
      <c r="C115" s="392" t="s">
        <v>1056</v>
      </c>
      <c r="D115" s="394" t="s">
        <v>1292</v>
      </c>
      <c r="E115" s="248"/>
      <c r="F115" s="248"/>
      <c r="G115" s="370"/>
      <c r="H115" s="395"/>
      <c r="I115" s="395"/>
      <c r="J115" s="395"/>
      <c r="K115" s="395"/>
      <c r="L115" s="395"/>
      <c r="M115" s="395"/>
      <c r="N115" s="416"/>
      <c r="O115" s="393"/>
      <c r="P115" s="393"/>
      <c r="Q115" s="393"/>
      <c r="R115" s="395"/>
      <c r="S115" s="370"/>
    </row>
    <row r="116" spans="1:19" outlineLevel="1">
      <c r="A116" s="392" t="s">
        <v>1291</v>
      </c>
      <c r="B116" s="392" t="s">
        <v>1293</v>
      </c>
      <c r="C116" s="392" t="s">
        <v>1059</v>
      </c>
      <c r="D116" s="248" t="s">
        <v>1294</v>
      </c>
      <c r="E116" s="248" t="s">
        <v>1295</v>
      </c>
      <c r="F116" s="248" t="s">
        <v>1296</v>
      </c>
      <c r="G116" s="370" t="s">
        <v>1297</v>
      </c>
      <c r="H116" s="395">
        <f>280+1018</f>
        <v>1298</v>
      </c>
      <c r="I116" s="395"/>
      <c r="J116" s="395">
        <f t="shared" si="19"/>
        <v>21708.826206896556</v>
      </c>
      <c r="K116" s="395">
        <f t="shared" si="20"/>
        <v>21708.826206896556</v>
      </c>
      <c r="L116" s="395">
        <f t="shared" si="21"/>
        <v>0</v>
      </c>
      <c r="M116" s="395">
        <f t="shared" si="22"/>
        <v>0</v>
      </c>
      <c r="N116" s="415"/>
      <c r="O116" s="393">
        <v>10.3448275862069</v>
      </c>
      <c r="P116" s="393">
        <v>5</v>
      </c>
      <c r="Q116" s="393">
        <f t="shared" ref="Q116:Q136" si="29">ROUND((O116+P116)*0.09,2)</f>
        <v>1.38</v>
      </c>
      <c r="R116" s="393">
        <f t="shared" ref="R116:R136" si="30">P116+O116+Q116</f>
        <v>16.724827586206899</v>
      </c>
      <c r="S116" s="370"/>
    </row>
    <row r="117" spans="1:19" ht="42" outlineLevel="1">
      <c r="A117" s="392" t="s">
        <v>1291</v>
      </c>
      <c r="B117" s="392" t="s">
        <v>1298</v>
      </c>
      <c r="C117" s="392" t="s">
        <v>1059</v>
      </c>
      <c r="D117" s="248" t="s">
        <v>1299</v>
      </c>
      <c r="E117" s="248" t="s">
        <v>1300</v>
      </c>
      <c r="F117" s="388" t="s">
        <v>1301</v>
      </c>
      <c r="G117" s="370" t="s">
        <v>1297</v>
      </c>
      <c r="H117" s="395">
        <f>780</f>
        <v>780</v>
      </c>
      <c r="I117" s="395">
        <v>60</v>
      </c>
      <c r="J117" s="395">
        <f t="shared" si="19"/>
        <v>59071.551724137971</v>
      </c>
      <c r="K117" s="395">
        <f t="shared" si="20"/>
        <v>59071.551724137971</v>
      </c>
      <c r="L117" s="395">
        <f t="shared" si="21"/>
        <v>4543.9655172413823</v>
      </c>
      <c r="M117" s="395">
        <f t="shared" si="22"/>
        <v>4543.9655172413823</v>
      </c>
      <c r="N117" s="415"/>
      <c r="O117" s="393">
        <v>34.482758620689701</v>
      </c>
      <c r="P117" s="393">
        <v>35</v>
      </c>
      <c r="Q117" s="393">
        <f t="shared" si="29"/>
        <v>6.25</v>
      </c>
      <c r="R117" s="393">
        <f t="shared" si="30"/>
        <v>75.732758620689708</v>
      </c>
      <c r="S117" s="370"/>
    </row>
    <row r="118" spans="1:19" ht="42" outlineLevel="1">
      <c r="A118" s="392" t="s">
        <v>1291</v>
      </c>
      <c r="B118" s="392" t="s">
        <v>1302</v>
      </c>
      <c r="C118" s="392" t="s">
        <v>1059</v>
      </c>
      <c r="D118" s="248" t="s">
        <v>1303</v>
      </c>
      <c r="E118" s="248" t="s">
        <v>1300</v>
      </c>
      <c r="F118" s="388" t="s">
        <v>1301</v>
      </c>
      <c r="G118" s="370" t="s">
        <v>1297</v>
      </c>
      <c r="H118" s="395">
        <f>153</f>
        <v>153</v>
      </c>
      <c r="I118" s="395">
        <v>12</v>
      </c>
      <c r="J118" s="395">
        <f t="shared" si="19"/>
        <v>11587.112068965525</v>
      </c>
      <c r="K118" s="395">
        <f t="shared" si="20"/>
        <v>11587.112068965525</v>
      </c>
      <c r="L118" s="395">
        <f t="shared" si="21"/>
        <v>908.7931034482765</v>
      </c>
      <c r="M118" s="395">
        <f t="shared" si="22"/>
        <v>908.7931034482765</v>
      </c>
      <c r="N118" s="415"/>
      <c r="O118" s="393">
        <v>34.482758620689701</v>
      </c>
      <c r="P118" s="393">
        <v>35</v>
      </c>
      <c r="Q118" s="393">
        <f t="shared" si="29"/>
        <v>6.25</v>
      </c>
      <c r="R118" s="393">
        <f t="shared" si="30"/>
        <v>75.732758620689708</v>
      </c>
      <c r="S118" s="370"/>
    </row>
    <row r="119" spans="1:19" ht="42" outlineLevel="1">
      <c r="A119" s="392" t="s">
        <v>1291</v>
      </c>
      <c r="B119" s="392" t="s">
        <v>1304</v>
      </c>
      <c r="C119" s="392" t="s">
        <v>1059</v>
      </c>
      <c r="D119" s="248" t="s">
        <v>1305</v>
      </c>
      <c r="E119" s="248" t="s">
        <v>1300</v>
      </c>
      <c r="F119" s="388" t="s">
        <v>1301</v>
      </c>
      <c r="G119" s="370" t="s">
        <v>1297</v>
      </c>
      <c r="H119" s="395">
        <f>558</f>
        <v>558</v>
      </c>
      <c r="I119" s="395">
        <v>15</v>
      </c>
      <c r="J119" s="395">
        <f t="shared" si="19"/>
        <v>42258.879310344855</v>
      </c>
      <c r="K119" s="395">
        <f t="shared" si="20"/>
        <v>42258.879310344855</v>
      </c>
      <c r="L119" s="395">
        <f t="shared" si="21"/>
        <v>1135.9913793103456</v>
      </c>
      <c r="M119" s="395">
        <f t="shared" si="22"/>
        <v>1135.9913793103456</v>
      </c>
      <c r="N119" s="415"/>
      <c r="O119" s="393">
        <v>34.482758620689701</v>
      </c>
      <c r="P119" s="393">
        <v>35</v>
      </c>
      <c r="Q119" s="393">
        <f t="shared" si="29"/>
        <v>6.25</v>
      </c>
      <c r="R119" s="393">
        <f t="shared" si="30"/>
        <v>75.732758620689708</v>
      </c>
      <c r="S119" s="370"/>
    </row>
    <row r="120" spans="1:19" ht="84" outlineLevel="1">
      <c r="A120" s="392" t="s">
        <v>1291</v>
      </c>
      <c r="B120" s="392" t="s">
        <v>1306</v>
      </c>
      <c r="C120" s="392" t="s">
        <v>1059</v>
      </c>
      <c r="D120" s="248" t="s">
        <v>1307</v>
      </c>
      <c r="E120" s="248" t="s">
        <v>1308</v>
      </c>
      <c r="F120" s="388" t="s">
        <v>1309</v>
      </c>
      <c r="G120" s="370" t="s">
        <v>1297</v>
      </c>
      <c r="H120" s="395">
        <f>694</f>
        <v>694</v>
      </c>
      <c r="I120" s="395"/>
      <c r="J120" s="395">
        <f t="shared" si="19"/>
        <v>59209.20827586206</v>
      </c>
      <c r="K120" s="395">
        <f t="shared" si="20"/>
        <v>59209.20827586206</v>
      </c>
      <c r="L120" s="395">
        <f t="shared" si="21"/>
        <v>0</v>
      </c>
      <c r="M120" s="395">
        <f t="shared" si="22"/>
        <v>0</v>
      </c>
      <c r="N120" s="415"/>
      <c r="O120" s="393">
        <v>48.275862068965502</v>
      </c>
      <c r="P120" s="393">
        <v>30</v>
      </c>
      <c r="Q120" s="393">
        <f t="shared" si="29"/>
        <v>7.04</v>
      </c>
      <c r="R120" s="393">
        <f t="shared" si="30"/>
        <v>85.315862068965501</v>
      </c>
      <c r="S120" s="370"/>
    </row>
    <row r="121" spans="1:19" ht="42" outlineLevel="1">
      <c r="A121" s="392" t="s">
        <v>1291</v>
      </c>
      <c r="B121" s="392" t="s">
        <v>1310</v>
      </c>
      <c r="C121" s="392" t="s">
        <v>1059</v>
      </c>
      <c r="D121" s="248" t="s">
        <v>1311</v>
      </c>
      <c r="E121" s="248" t="s">
        <v>1312</v>
      </c>
      <c r="F121" s="248" t="s">
        <v>1313</v>
      </c>
      <c r="G121" s="370" t="s">
        <v>1297</v>
      </c>
      <c r="H121" s="395"/>
      <c r="I121" s="395"/>
      <c r="J121" s="395">
        <f t="shared" si="19"/>
        <v>0</v>
      </c>
      <c r="K121" s="395">
        <f t="shared" si="20"/>
        <v>0</v>
      </c>
      <c r="L121" s="395">
        <f t="shared" si="21"/>
        <v>0</v>
      </c>
      <c r="M121" s="395">
        <f t="shared" si="22"/>
        <v>0</v>
      </c>
      <c r="N121" s="415"/>
      <c r="O121" s="393">
        <v>20.689655172413801</v>
      </c>
      <c r="P121" s="393">
        <v>30</v>
      </c>
      <c r="Q121" s="393">
        <f t="shared" si="29"/>
        <v>4.5599999999999996</v>
      </c>
      <c r="R121" s="393">
        <f t="shared" si="30"/>
        <v>55.249655172413803</v>
      </c>
      <c r="S121" s="370"/>
    </row>
    <row r="122" spans="1:19" ht="84" outlineLevel="1">
      <c r="A122" s="392" t="s">
        <v>1291</v>
      </c>
      <c r="B122" s="392" t="s">
        <v>1314</v>
      </c>
      <c r="C122" s="392" t="s">
        <v>1059</v>
      </c>
      <c r="D122" s="248" t="s">
        <v>1315</v>
      </c>
      <c r="E122" s="248" t="s">
        <v>1316</v>
      </c>
      <c r="F122" s="248" t="s">
        <v>1313</v>
      </c>
      <c r="G122" s="370" t="s">
        <v>1297</v>
      </c>
      <c r="H122" s="395"/>
      <c r="I122" s="395"/>
      <c r="J122" s="395">
        <f t="shared" si="19"/>
        <v>0</v>
      </c>
      <c r="K122" s="395">
        <f t="shared" si="20"/>
        <v>0</v>
      </c>
      <c r="L122" s="395">
        <f t="shared" si="21"/>
        <v>0</v>
      </c>
      <c r="M122" s="395">
        <f t="shared" si="22"/>
        <v>0</v>
      </c>
      <c r="N122" s="415"/>
      <c r="O122" s="393">
        <v>58.620689655172399</v>
      </c>
      <c r="P122" s="393">
        <v>30</v>
      </c>
      <c r="Q122" s="393">
        <f t="shared" si="29"/>
        <v>7.98</v>
      </c>
      <c r="R122" s="393">
        <f t="shared" si="30"/>
        <v>96.600689655172403</v>
      </c>
      <c r="S122" s="370"/>
    </row>
    <row r="123" spans="1:19" ht="21" outlineLevel="1">
      <c r="A123" s="392" t="s">
        <v>1291</v>
      </c>
      <c r="B123" s="392" t="s">
        <v>1317</v>
      </c>
      <c r="C123" s="392" t="s">
        <v>1059</v>
      </c>
      <c r="D123" s="248" t="s">
        <v>1318</v>
      </c>
      <c r="E123" s="248" t="s">
        <v>1319</v>
      </c>
      <c r="F123" s="248" t="s">
        <v>1296</v>
      </c>
      <c r="G123" s="370" t="s">
        <v>1297</v>
      </c>
      <c r="H123" s="395">
        <f>140</f>
        <v>140</v>
      </c>
      <c r="I123" s="395">
        <f>3+3</f>
        <v>6</v>
      </c>
      <c r="J123" s="395">
        <f t="shared" si="19"/>
        <v>3193.5448275862036</v>
      </c>
      <c r="K123" s="395">
        <f t="shared" si="20"/>
        <v>3193.5448275862036</v>
      </c>
      <c r="L123" s="395">
        <f t="shared" si="21"/>
        <v>136.86620689655157</v>
      </c>
      <c r="M123" s="395">
        <f t="shared" si="22"/>
        <v>136.86620689655157</v>
      </c>
      <c r="N123" s="415"/>
      <c r="O123" s="393">
        <v>12.9310344827586</v>
      </c>
      <c r="P123" s="393">
        <v>8</v>
      </c>
      <c r="Q123" s="393">
        <f t="shared" si="29"/>
        <v>1.88</v>
      </c>
      <c r="R123" s="393">
        <f t="shared" si="30"/>
        <v>22.811034482758597</v>
      </c>
      <c r="S123" s="370"/>
    </row>
    <row r="124" spans="1:19" ht="115.5" outlineLevel="1">
      <c r="A124" s="392" t="s">
        <v>1291</v>
      </c>
      <c r="B124" s="392" t="s">
        <v>1320</v>
      </c>
      <c r="C124" s="392" t="s">
        <v>1059</v>
      </c>
      <c r="D124" s="248" t="s">
        <v>1321</v>
      </c>
      <c r="E124" s="248" t="s">
        <v>1322</v>
      </c>
      <c r="F124" s="248" t="s">
        <v>1313</v>
      </c>
      <c r="G124" s="370" t="s">
        <v>1297</v>
      </c>
      <c r="H124" s="395">
        <f>20</f>
        <v>20</v>
      </c>
      <c r="I124" s="395">
        <v>95</v>
      </c>
      <c r="J124" s="395">
        <f t="shared" si="19"/>
        <v>2751.3379310344817</v>
      </c>
      <c r="K124" s="395">
        <f t="shared" si="20"/>
        <v>2751.3379310344817</v>
      </c>
      <c r="L124" s="395">
        <f t="shared" si="21"/>
        <v>13068.855172413789</v>
      </c>
      <c r="M124" s="395">
        <f t="shared" si="22"/>
        <v>13068.855172413789</v>
      </c>
      <c r="N124" s="415"/>
      <c r="O124" s="393">
        <v>86.2068965517241</v>
      </c>
      <c r="P124" s="393">
        <v>40</v>
      </c>
      <c r="Q124" s="393">
        <f t="shared" si="29"/>
        <v>11.36</v>
      </c>
      <c r="R124" s="393">
        <f t="shared" si="30"/>
        <v>137.56689655172408</v>
      </c>
      <c r="S124" s="370"/>
    </row>
    <row r="125" spans="1:19" ht="115.5" outlineLevel="1">
      <c r="A125" s="392" t="s">
        <v>1291</v>
      </c>
      <c r="B125" s="392" t="s">
        <v>1323</v>
      </c>
      <c r="C125" s="392" t="s">
        <v>1059</v>
      </c>
      <c r="D125" s="248" t="s">
        <v>1324</v>
      </c>
      <c r="E125" s="248" t="s">
        <v>1325</v>
      </c>
      <c r="F125" s="248" t="s">
        <v>1313</v>
      </c>
      <c r="G125" s="370" t="s">
        <v>1297</v>
      </c>
      <c r="H125" s="395"/>
      <c r="I125" s="395">
        <v>20</v>
      </c>
      <c r="J125" s="395">
        <f t="shared" si="19"/>
        <v>0</v>
      </c>
      <c r="K125" s="395">
        <f t="shared" si="20"/>
        <v>0</v>
      </c>
      <c r="L125" s="395">
        <f t="shared" si="21"/>
        <v>3089.6827586206796</v>
      </c>
      <c r="M125" s="395">
        <f t="shared" si="22"/>
        <v>3089.6827586206796</v>
      </c>
      <c r="N125" s="415"/>
      <c r="O125" s="393">
        <v>101.72413793103399</v>
      </c>
      <c r="P125" s="393">
        <v>40</v>
      </c>
      <c r="Q125" s="393">
        <f t="shared" si="29"/>
        <v>12.76</v>
      </c>
      <c r="R125" s="393">
        <f t="shared" si="30"/>
        <v>154.48413793103398</v>
      </c>
      <c r="S125" s="370"/>
    </row>
    <row r="126" spans="1:19" ht="42" outlineLevel="1">
      <c r="A126" s="392" t="s">
        <v>1291</v>
      </c>
      <c r="B126" s="392" t="s">
        <v>1326</v>
      </c>
      <c r="C126" s="392" t="s">
        <v>1059</v>
      </c>
      <c r="D126" s="248" t="s">
        <v>1327</v>
      </c>
      <c r="E126" s="248" t="s">
        <v>1328</v>
      </c>
      <c r="F126" s="388" t="s">
        <v>1301</v>
      </c>
      <c r="G126" s="370" t="s">
        <v>1297</v>
      </c>
      <c r="H126" s="395"/>
      <c r="I126" s="395"/>
      <c r="J126" s="395">
        <f t="shared" si="19"/>
        <v>0</v>
      </c>
      <c r="K126" s="395">
        <f t="shared" si="20"/>
        <v>0</v>
      </c>
      <c r="L126" s="395">
        <f t="shared" si="21"/>
        <v>0</v>
      </c>
      <c r="M126" s="395">
        <f t="shared" si="22"/>
        <v>0</v>
      </c>
      <c r="N126" s="415"/>
      <c r="O126" s="393">
        <v>58.620689655172399</v>
      </c>
      <c r="P126" s="393">
        <f>P120</f>
        <v>30</v>
      </c>
      <c r="Q126" s="393">
        <f t="shared" si="29"/>
        <v>7.98</v>
      </c>
      <c r="R126" s="393">
        <f t="shared" si="30"/>
        <v>96.600689655172403</v>
      </c>
      <c r="S126" s="370"/>
    </row>
    <row r="127" spans="1:19" ht="42" outlineLevel="1">
      <c r="A127" s="392" t="s">
        <v>1291</v>
      </c>
      <c r="B127" s="392" t="s">
        <v>1329</v>
      </c>
      <c r="C127" s="392" t="s">
        <v>1059</v>
      </c>
      <c r="D127" s="248" t="s">
        <v>1330</v>
      </c>
      <c r="E127" s="248" t="s">
        <v>1331</v>
      </c>
      <c r="F127" s="388" t="s">
        <v>1301</v>
      </c>
      <c r="G127" s="370" t="s">
        <v>1297</v>
      </c>
      <c r="H127" s="395"/>
      <c r="I127" s="395"/>
      <c r="J127" s="395">
        <f t="shared" si="19"/>
        <v>0</v>
      </c>
      <c r="K127" s="395">
        <f t="shared" si="20"/>
        <v>0</v>
      </c>
      <c r="L127" s="395">
        <f t="shared" si="21"/>
        <v>0</v>
      </c>
      <c r="M127" s="395">
        <f t="shared" si="22"/>
        <v>0</v>
      </c>
      <c r="N127" s="415"/>
      <c r="O127" s="393">
        <v>34.991379310344797</v>
      </c>
      <c r="P127" s="393">
        <f>P120</f>
        <v>30</v>
      </c>
      <c r="Q127" s="393">
        <f t="shared" si="29"/>
        <v>5.85</v>
      </c>
      <c r="R127" s="393">
        <f t="shared" si="30"/>
        <v>70.841379310344792</v>
      </c>
      <c r="S127" s="370"/>
    </row>
    <row r="128" spans="1:19" ht="94.5" outlineLevel="1">
      <c r="A128" s="392" t="s">
        <v>1291</v>
      </c>
      <c r="B128" s="392" t="s">
        <v>1332</v>
      </c>
      <c r="C128" s="392" t="s">
        <v>1059</v>
      </c>
      <c r="D128" s="248" t="s">
        <v>1333</v>
      </c>
      <c r="E128" s="248" t="s">
        <v>1334</v>
      </c>
      <c r="F128" s="388" t="s">
        <v>1335</v>
      </c>
      <c r="G128" s="370" t="s">
        <v>1297</v>
      </c>
      <c r="H128" s="395"/>
      <c r="I128" s="395"/>
      <c r="J128" s="395">
        <f t="shared" si="19"/>
        <v>0</v>
      </c>
      <c r="K128" s="395">
        <f t="shared" si="20"/>
        <v>0</v>
      </c>
      <c r="L128" s="395">
        <f t="shared" si="21"/>
        <v>0</v>
      </c>
      <c r="M128" s="395">
        <f t="shared" si="22"/>
        <v>0</v>
      </c>
      <c r="N128" s="415"/>
      <c r="O128" s="393">
        <v>465.51724137931001</v>
      </c>
      <c r="P128" s="393">
        <v>260</v>
      </c>
      <c r="Q128" s="393">
        <f t="shared" si="29"/>
        <v>65.3</v>
      </c>
      <c r="R128" s="393">
        <f t="shared" si="30"/>
        <v>790.81724137930996</v>
      </c>
      <c r="S128" s="370"/>
    </row>
    <row r="129" spans="1:19" ht="42" outlineLevel="1">
      <c r="A129" s="392" t="s">
        <v>1291</v>
      </c>
      <c r="B129" s="392" t="s">
        <v>1336</v>
      </c>
      <c r="C129" s="392" t="s">
        <v>1059</v>
      </c>
      <c r="D129" s="248" t="s">
        <v>1337</v>
      </c>
      <c r="E129" s="248" t="s">
        <v>1338</v>
      </c>
      <c r="F129" s="388" t="s">
        <v>1301</v>
      </c>
      <c r="G129" s="370" t="s">
        <v>1297</v>
      </c>
      <c r="H129" s="395"/>
      <c r="I129" s="395">
        <v>340</v>
      </c>
      <c r="J129" s="395">
        <f t="shared" si="19"/>
        <v>0</v>
      </c>
      <c r="K129" s="395">
        <f t="shared" si="20"/>
        <v>0</v>
      </c>
      <c r="L129" s="395">
        <f t="shared" si="21"/>
        <v>20317.579310344841</v>
      </c>
      <c r="M129" s="395">
        <f t="shared" si="22"/>
        <v>20317.579310344841</v>
      </c>
      <c r="N129" s="415"/>
      <c r="O129" s="393">
        <v>19.827586206896601</v>
      </c>
      <c r="P129" s="393">
        <v>35</v>
      </c>
      <c r="Q129" s="393">
        <f t="shared" si="29"/>
        <v>4.93</v>
      </c>
      <c r="R129" s="393">
        <f t="shared" si="30"/>
        <v>59.757586206896598</v>
      </c>
      <c r="S129" s="370"/>
    </row>
    <row r="130" spans="1:19" ht="42" outlineLevel="1">
      <c r="A130" s="392" t="s">
        <v>1291</v>
      </c>
      <c r="B130" s="392" t="s">
        <v>1339</v>
      </c>
      <c r="C130" s="392" t="s">
        <v>1059</v>
      </c>
      <c r="D130" s="248" t="s">
        <v>1340</v>
      </c>
      <c r="E130" s="248" t="s">
        <v>1338</v>
      </c>
      <c r="F130" s="388" t="s">
        <v>1301</v>
      </c>
      <c r="G130" s="370" t="s">
        <v>1297</v>
      </c>
      <c r="H130" s="395"/>
      <c r="I130" s="395"/>
      <c r="J130" s="395">
        <f t="shared" si="19"/>
        <v>0</v>
      </c>
      <c r="K130" s="395">
        <f t="shared" si="20"/>
        <v>0</v>
      </c>
      <c r="L130" s="395">
        <f t="shared" si="21"/>
        <v>0</v>
      </c>
      <c r="M130" s="395">
        <f t="shared" si="22"/>
        <v>0</v>
      </c>
      <c r="N130" s="415"/>
      <c r="O130" s="393">
        <v>73.275862068965495</v>
      </c>
      <c r="P130" s="393">
        <v>30</v>
      </c>
      <c r="Q130" s="393">
        <f t="shared" si="29"/>
        <v>9.2899999999999991</v>
      </c>
      <c r="R130" s="393">
        <f t="shared" si="30"/>
        <v>112.56586206896549</v>
      </c>
      <c r="S130" s="370"/>
    </row>
    <row r="131" spans="1:19" ht="42" outlineLevel="1">
      <c r="A131" s="392" t="s">
        <v>1291</v>
      </c>
      <c r="B131" s="392" t="s">
        <v>1341</v>
      </c>
      <c r="C131" s="392" t="s">
        <v>1059</v>
      </c>
      <c r="D131" s="248" t="s">
        <v>1342</v>
      </c>
      <c r="E131" s="248" t="s">
        <v>1343</v>
      </c>
      <c r="F131" s="388" t="s">
        <v>1301</v>
      </c>
      <c r="G131" s="370" t="s">
        <v>1297</v>
      </c>
      <c r="H131" s="395"/>
      <c r="I131" s="395"/>
      <c r="J131" s="395">
        <f t="shared" si="19"/>
        <v>0</v>
      </c>
      <c r="K131" s="395">
        <f t="shared" si="20"/>
        <v>0</v>
      </c>
      <c r="L131" s="395">
        <f t="shared" si="21"/>
        <v>0</v>
      </c>
      <c r="M131" s="395">
        <f t="shared" si="22"/>
        <v>0</v>
      </c>
      <c r="N131" s="415"/>
      <c r="O131" s="393">
        <v>30.172413793103502</v>
      </c>
      <c r="P131" s="393">
        <f>P125</f>
        <v>40</v>
      </c>
      <c r="Q131" s="393">
        <f t="shared" si="29"/>
        <v>6.32</v>
      </c>
      <c r="R131" s="393">
        <f t="shared" si="30"/>
        <v>76.492413793103509</v>
      </c>
      <c r="S131" s="370"/>
    </row>
    <row r="132" spans="1:19" ht="42" outlineLevel="1">
      <c r="A132" s="392" t="s">
        <v>1291</v>
      </c>
      <c r="B132" s="392" t="s">
        <v>1344</v>
      </c>
      <c r="C132" s="392" t="s">
        <v>1059</v>
      </c>
      <c r="D132" s="248" t="s">
        <v>1345</v>
      </c>
      <c r="E132" s="248" t="s">
        <v>1346</v>
      </c>
      <c r="F132" s="388" t="s">
        <v>1301</v>
      </c>
      <c r="G132" s="370" t="s">
        <v>1297</v>
      </c>
      <c r="H132" s="395"/>
      <c r="I132" s="395">
        <v>10</v>
      </c>
      <c r="J132" s="395">
        <f t="shared" si="19"/>
        <v>0</v>
      </c>
      <c r="K132" s="395">
        <f t="shared" si="20"/>
        <v>0</v>
      </c>
      <c r="L132" s="395">
        <f t="shared" si="21"/>
        <v>749.83103448275892</v>
      </c>
      <c r="M132" s="395">
        <f t="shared" si="22"/>
        <v>749.83103448275892</v>
      </c>
      <c r="N132" s="415"/>
      <c r="O132" s="393">
        <v>38.7931034482759</v>
      </c>
      <c r="P132" s="393">
        <v>30</v>
      </c>
      <c r="Q132" s="393">
        <f t="shared" si="29"/>
        <v>6.19</v>
      </c>
      <c r="R132" s="393">
        <f t="shared" si="30"/>
        <v>74.983103448275898</v>
      </c>
      <c r="S132" s="370"/>
    </row>
    <row r="133" spans="1:19" ht="42" outlineLevel="1">
      <c r="A133" s="392" t="s">
        <v>1291</v>
      </c>
      <c r="B133" s="392" t="s">
        <v>1347</v>
      </c>
      <c r="C133" s="392" t="s">
        <v>1059</v>
      </c>
      <c r="D133" s="248" t="s">
        <v>1348</v>
      </c>
      <c r="E133" s="248" t="s">
        <v>1349</v>
      </c>
      <c r="F133" s="388" t="s">
        <v>1301</v>
      </c>
      <c r="G133" s="370" t="s">
        <v>1297</v>
      </c>
      <c r="H133" s="395"/>
      <c r="I133" s="395"/>
      <c r="J133" s="395">
        <f t="shared" si="19"/>
        <v>0</v>
      </c>
      <c r="K133" s="395">
        <f t="shared" si="20"/>
        <v>0</v>
      </c>
      <c r="L133" s="395">
        <f t="shared" si="21"/>
        <v>0</v>
      </c>
      <c r="M133" s="395">
        <f t="shared" si="22"/>
        <v>0</v>
      </c>
      <c r="N133" s="415"/>
      <c r="O133" s="393">
        <v>51.724137931034498</v>
      </c>
      <c r="P133" s="393">
        <v>30</v>
      </c>
      <c r="Q133" s="393">
        <f t="shared" si="29"/>
        <v>7.36</v>
      </c>
      <c r="R133" s="393">
        <f t="shared" si="30"/>
        <v>89.084137931034505</v>
      </c>
      <c r="S133" s="370"/>
    </row>
    <row r="134" spans="1:19" ht="42" outlineLevel="1">
      <c r="A134" s="392" t="s">
        <v>1291</v>
      </c>
      <c r="B134" s="392" t="s">
        <v>1350</v>
      </c>
      <c r="C134" s="392" t="s">
        <v>1059</v>
      </c>
      <c r="D134" s="248" t="s">
        <v>1351</v>
      </c>
      <c r="E134" s="248" t="s">
        <v>1349</v>
      </c>
      <c r="F134" s="388" t="s">
        <v>1301</v>
      </c>
      <c r="G134" s="370" t="s">
        <v>1297</v>
      </c>
      <c r="H134" s="395">
        <f>957+263</f>
        <v>1220</v>
      </c>
      <c r="I134" s="395">
        <v>25</v>
      </c>
      <c r="J134" s="395">
        <f t="shared" ref="J134:J197" si="31">H134*R134</f>
        <v>91479.386206896597</v>
      </c>
      <c r="K134" s="395">
        <f t="shared" ref="K134:K197" si="32">H134*R134*(1+N134)</f>
        <v>91479.386206896597</v>
      </c>
      <c r="L134" s="395">
        <f t="shared" ref="L134:L197" si="33">I134*R134</f>
        <v>1874.5775862068974</v>
      </c>
      <c r="M134" s="395">
        <f t="shared" ref="M134:M197" si="34">I134*R134*(1+N134)</f>
        <v>1874.5775862068974</v>
      </c>
      <c r="N134" s="415"/>
      <c r="O134" s="393">
        <v>38.7931034482759</v>
      </c>
      <c r="P134" s="393">
        <v>30</v>
      </c>
      <c r="Q134" s="393">
        <f t="shared" si="29"/>
        <v>6.19</v>
      </c>
      <c r="R134" s="393">
        <f t="shared" si="30"/>
        <v>74.983103448275898</v>
      </c>
      <c r="S134" s="370"/>
    </row>
    <row r="135" spans="1:19" ht="42" outlineLevel="1">
      <c r="A135" s="392" t="s">
        <v>1291</v>
      </c>
      <c r="B135" s="392" t="s">
        <v>1352</v>
      </c>
      <c r="C135" s="392" t="s">
        <v>1059</v>
      </c>
      <c r="D135" s="248" t="s">
        <v>1353</v>
      </c>
      <c r="E135" s="248" t="s">
        <v>1354</v>
      </c>
      <c r="F135" s="388" t="s">
        <v>1301</v>
      </c>
      <c r="G135" s="370" t="s">
        <v>1297</v>
      </c>
      <c r="H135" s="395"/>
      <c r="I135" s="395"/>
      <c r="J135" s="395">
        <f t="shared" si="31"/>
        <v>0</v>
      </c>
      <c r="K135" s="395">
        <f t="shared" si="32"/>
        <v>0</v>
      </c>
      <c r="L135" s="395">
        <f t="shared" si="33"/>
        <v>0</v>
      </c>
      <c r="M135" s="395">
        <f t="shared" si="34"/>
        <v>0</v>
      </c>
      <c r="N135" s="415"/>
      <c r="O135" s="393">
        <v>48.275862068965502</v>
      </c>
      <c r="P135" s="393">
        <v>40</v>
      </c>
      <c r="Q135" s="393">
        <f t="shared" si="29"/>
        <v>7.94</v>
      </c>
      <c r="R135" s="393">
        <f t="shared" si="30"/>
        <v>96.215862068965492</v>
      </c>
      <c r="S135" s="370"/>
    </row>
    <row r="136" spans="1:19" ht="42" outlineLevel="1">
      <c r="A136" s="392" t="s">
        <v>1291</v>
      </c>
      <c r="B136" s="392" t="s">
        <v>1355</v>
      </c>
      <c r="C136" s="392" t="s">
        <v>1059</v>
      </c>
      <c r="D136" s="248" t="s">
        <v>1356</v>
      </c>
      <c r="E136" s="248" t="s">
        <v>1357</v>
      </c>
      <c r="F136" s="388" t="s">
        <v>1301</v>
      </c>
      <c r="G136" s="370" t="s">
        <v>1297</v>
      </c>
      <c r="H136" s="395"/>
      <c r="I136" s="395"/>
      <c r="J136" s="395">
        <f t="shared" si="31"/>
        <v>0</v>
      </c>
      <c r="K136" s="395">
        <f t="shared" si="32"/>
        <v>0</v>
      </c>
      <c r="L136" s="395">
        <f t="shared" si="33"/>
        <v>0</v>
      </c>
      <c r="M136" s="395">
        <f t="shared" si="34"/>
        <v>0</v>
      </c>
      <c r="N136" s="415"/>
      <c r="O136" s="393">
        <v>48.275862068965502</v>
      </c>
      <c r="P136" s="393">
        <v>40</v>
      </c>
      <c r="Q136" s="393">
        <f t="shared" si="29"/>
        <v>7.94</v>
      </c>
      <c r="R136" s="393">
        <f t="shared" si="30"/>
        <v>96.215862068965492</v>
      </c>
      <c r="S136" s="370"/>
    </row>
    <row r="137" spans="1:19">
      <c r="A137" s="392" t="s">
        <v>1177</v>
      </c>
      <c r="B137" s="392" t="s">
        <v>1358</v>
      </c>
      <c r="C137" s="392" t="s">
        <v>1056</v>
      </c>
      <c r="D137" s="394" t="s">
        <v>1359</v>
      </c>
      <c r="E137" s="248"/>
      <c r="F137" s="248"/>
      <c r="G137" s="370"/>
      <c r="H137" s="395"/>
      <c r="I137" s="395"/>
      <c r="J137" s="395"/>
      <c r="K137" s="395"/>
      <c r="L137" s="395"/>
      <c r="M137" s="395"/>
      <c r="N137" s="416"/>
      <c r="O137" s="393"/>
      <c r="P137" s="393"/>
      <c r="Q137" s="393"/>
      <c r="R137" s="395"/>
      <c r="S137" s="370"/>
    </row>
    <row r="138" spans="1:19" ht="21" outlineLevel="1">
      <c r="A138" s="392" t="s">
        <v>1358</v>
      </c>
      <c r="B138" s="392" t="s">
        <v>1360</v>
      </c>
      <c r="C138" s="392" t="s">
        <v>1059</v>
      </c>
      <c r="D138" s="248" t="s">
        <v>1361</v>
      </c>
      <c r="E138" s="248" t="s">
        <v>1362</v>
      </c>
      <c r="F138" s="248" t="s">
        <v>1363</v>
      </c>
      <c r="G138" s="370" t="s">
        <v>1297</v>
      </c>
      <c r="H138" s="395">
        <f>140+(542+25)+1018</f>
        <v>1725</v>
      </c>
      <c r="I138" s="395">
        <f>10+18</f>
        <v>28</v>
      </c>
      <c r="J138" s="395">
        <f t="shared" si="31"/>
        <v>17402.87068965517</v>
      </c>
      <c r="K138" s="395">
        <f t="shared" si="32"/>
        <v>17402.87068965517</v>
      </c>
      <c r="L138" s="395">
        <f t="shared" si="33"/>
        <v>282.48137931034478</v>
      </c>
      <c r="M138" s="395">
        <f t="shared" si="34"/>
        <v>282.48137931034478</v>
      </c>
      <c r="N138" s="415"/>
      <c r="O138" s="393">
        <v>2.7586206896551699</v>
      </c>
      <c r="P138" s="393">
        <v>6.5</v>
      </c>
      <c r="Q138" s="393">
        <f t="shared" ref="Q138:Q150" si="35">ROUND((O138+P138)*0.09,2)</f>
        <v>0.83</v>
      </c>
      <c r="R138" s="393">
        <f t="shared" ref="R138:R150" si="36">P138+O138+Q138</f>
        <v>10.088620689655171</v>
      </c>
      <c r="S138" s="370"/>
    </row>
    <row r="139" spans="1:19" ht="21" outlineLevel="1">
      <c r="A139" s="392" t="s">
        <v>1358</v>
      </c>
      <c r="B139" s="392" t="s">
        <v>1364</v>
      </c>
      <c r="C139" s="392" t="s">
        <v>1059</v>
      </c>
      <c r="D139" s="248" t="s">
        <v>1365</v>
      </c>
      <c r="E139" s="248" t="s">
        <v>1362</v>
      </c>
      <c r="F139" s="248" t="s">
        <v>1363</v>
      </c>
      <c r="G139" s="370" t="s">
        <v>1297</v>
      </c>
      <c r="H139" s="395">
        <v>25</v>
      </c>
      <c r="I139" s="395">
        <v>10</v>
      </c>
      <c r="J139" s="395">
        <f t="shared" si="31"/>
        <v>294.50862068965529</v>
      </c>
      <c r="K139" s="395">
        <f t="shared" si="32"/>
        <v>294.50862068965529</v>
      </c>
      <c r="L139" s="395">
        <f t="shared" si="33"/>
        <v>117.80344827586211</v>
      </c>
      <c r="M139" s="395">
        <f t="shared" si="34"/>
        <v>117.80344827586211</v>
      </c>
      <c r="N139" s="415"/>
      <c r="O139" s="393">
        <v>4.31034482758621</v>
      </c>
      <c r="P139" s="393">
        <v>6.5</v>
      </c>
      <c r="Q139" s="393">
        <f t="shared" si="35"/>
        <v>0.97</v>
      </c>
      <c r="R139" s="393">
        <f t="shared" si="36"/>
        <v>11.780344827586211</v>
      </c>
      <c r="S139" s="370"/>
    </row>
    <row r="140" spans="1:19" ht="21" outlineLevel="1">
      <c r="A140" s="392" t="s">
        <v>1358</v>
      </c>
      <c r="B140" s="392" t="s">
        <v>1366</v>
      </c>
      <c r="C140" s="392" t="s">
        <v>1059</v>
      </c>
      <c r="D140" s="248" t="s">
        <v>1367</v>
      </c>
      <c r="E140" s="248" t="s">
        <v>1362</v>
      </c>
      <c r="F140" s="248" t="s">
        <v>1363</v>
      </c>
      <c r="G140" s="370" t="s">
        <v>1297</v>
      </c>
      <c r="H140" s="395">
        <v>45</v>
      </c>
      <c r="I140" s="395">
        <v>10</v>
      </c>
      <c r="J140" s="395">
        <f t="shared" si="31"/>
        <v>610.57241379310358</v>
      </c>
      <c r="K140" s="395">
        <f t="shared" si="32"/>
        <v>610.57241379310358</v>
      </c>
      <c r="L140" s="395">
        <f t="shared" si="33"/>
        <v>135.6827586206897</v>
      </c>
      <c r="M140" s="395">
        <f t="shared" si="34"/>
        <v>135.6827586206897</v>
      </c>
      <c r="N140" s="415"/>
      <c r="O140" s="393">
        <v>5.9482758620689697</v>
      </c>
      <c r="P140" s="393">
        <v>6.5</v>
      </c>
      <c r="Q140" s="393">
        <f t="shared" si="35"/>
        <v>1.1200000000000001</v>
      </c>
      <c r="R140" s="393">
        <f t="shared" si="36"/>
        <v>13.568275862068969</v>
      </c>
      <c r="S140" s="370"/>
    </row>
    <row r="141" spans="1:19" ht="21" outlineLevel="1">
      <c r="A141" s="392" t="s">
        <v>1358</v>
      </c>
      <c r="B141" s="392" t="s">
        <v>1368</v>
      </c>
      <c r="C141" s="392" t="s">
        <v>1059</v>
      </c>
      <c r="D141" s="248" t="s">
        <v>1369</v>
      </c>
      <c r="E141" s="248" t="s">
        <v>1362</v>
      </c>
      <c r="F141" s="248" t="s">
        <v>1363</v>
      </c>
      <c r="G141" s="370" t="s">
        <v>1297</v>
      </c>
      <c r="H141" s="395">
        <v>5</v>
      </c>
      <c r="I141" s="395"/>
      <c r="J141" s="395">
        <f t="shared" si="31"/>
        <v>75.818965517241409</v>
      </c>
      <c r="K141" s="395">
        <f t="shared" si="32"/>
        <v>75.818965517241409</v>
      </c>
      <c r="L141" s="395">
        <f t="shared" si="33"/>
        <v>0</v>
      </c>
      <c r="M141" s="395">
        <f t="shared" si="34"/>
        <v>0</v>
      </c>
      <c r="N141" s="415"/>
      <c r="O141" s="393">
        <v>7.4137931034482802</v>
      </c>
      <c r="P141" s="393">
        <v>6.5</v>
      </c>
      <c r="Q141" s="393">
        <f t="shared" si="35"/>
        <v>1.25</v>
      </c>
      <c r="R141" s="393">
        <f t="shared" si="36"/>
        <v>15.163793103448281</v>
      </c>
      <c r="S141" s="370"/>
    </row>
    <row r="142" spans="1:19" ht="21" outlineLevel="1">
      <c r="A142" s="392" t="s">
        <v>1358</v>
      </c>
      <c r="B142" s="392" t="s">
        <v>1370</v>
      </c>
      <c r="C142" s="392" t="s">
        <v>1059</v>
      </c>
      <c r="D142" s="248" t="s">
        <v>1371</v>
      </c>
      <c r="E142" s="248" t="s">
        <v>1362</v>
      </c>
      <c r="F142" s="248" t="s">
        <v>1363</v>
      </c>
      <c r="G142" s="370" t="s">
        <v>1297</v>
      </c>
      <c r="H142" s="395">
        <v>15</v>
      </c>
      <c r="I142" s="395"/>
      <c r="J142" s="395">
        <f t="shared" si="31"/>
        <v>155.65862068965524</v>
      </c>
      <c r="K142" s="395">
        <f t="shared" si="32"/>
        <v>155.65862068965524</v>
      </c>
      <c r="L142" s="395">
        <f t="shared" si="33"/>
        <v>0</v>
      </c>
      <c r="M142" s="395">
        <f t="shared" si="34"/>
        <v>0</v>
      </c>
      <c r="N142" s="415"/>
      <c r="O142" s="393">
        <v>3.0172413793103501</v>
      </c>
      <c r="P142" s="393">
        <v>6.5</v>
      </c>
      <c r="Q142" s="393">
        <f t="shared" si="35"/>
        <v>0.86</v>
      </c>
      <c r="R142" s="393">
        <f t="shared" si="36"/>
        <v>10.37724137931035</v>
      </c>
      <c r="S142" s="370"/>
    </row>
    <row r="143" spans="1:19" ht="21" outlineLevel="1">
      <c r="A143" s="392" t="s">
        <v>1358</v>
      </c>
      <c r="B143" s="392" t="s">
        <v>1372</v>
      </c>
      <c r="C143" s="392" t="s">
        <v>1059</v>
      </c>
      <c r="D143" s="248" t="s">
        <v>1373</v>
      </c>
      <c r="E143" s="248" t="s">
        <v>1362</v>
      </c>
      <c r="F143" s="248" t="s">
        <v>1363</v>
      </c>
      <c r="G143" s="370" t="s">
        <v>1297</v>
      </c>
      <c r="H143" s="395"/>
      <c r="I143" s="395"/>
      <c r="J143" s="395">
        <f t="shared" si="31"/>
        <v>0</v>
      </c>
      <c r="K143" s="395">
        <f t="shared" si="32"/>
        <v>0</v>
      </c>
      <c r="L143" s="395">
        <f t="shared" si="33"/>
        <v>0</v>
      </c>
      <c r="M143" s="395">
        <f t="shared" si="34"/>
        <v>0</v>
      </c>
      <c r="N143" s="415"/>
      <c r="O143" s="393">
        <v>5</v>
      </c>
      <c r="P143" s="393">
        <v>6.5</v>
      </c>
      <c r="Q143" s="393">
        <f t="shared" si="35"/>
        <v>1.04</v>
      </c>
      <c r="R143" s="393">
        <f t="shared" si="36"/>
        <v>12.54</v>
      </c>
      <c r="S143" s="370"/>
    </row>
    <row r="144" spans="1:19" ht="21" outlineLevel="1">
      <c r="A144" s="392" t="s">
        <v>1358</v>
      </c>
      <c r="B144" s="392" t="s">
        <v>1374</v>
      </c>
      <c r="C144" s="392" t="s">
        <v>1059</v>
      </c>
      <c r="D144" s="248" t="s">
        <v>1375</v>
      </c>
      <c r="E144" s="248" t="s">
        <v>1362</v>
      </c>
      <c r="F144" s="248" t="s">
        <v>1363</v>
      </c>
      <c r="G144" s="370" t="s">
        <v>1297</v>
      </c>
      <c r="H144" s="395"/>
      <c r="I144" s="395"/>
      <c r="J144" s="395">
        <f t="shared" si="31"/>
        <v>0</v>
      </c>
      <c r="K144" s="395">
        <f t="shared" si="32"/>
        <v>0</v>
      </c>
      <c r="L144" s="395">
        <f t="shared" si="33"/>
        <v>0</v>
      </c>
      <c r="M144" s="395">
        <f t="shared" si="34"/>
        <v>0</v>
      </c>
      <c r="N144" s="415"/>
      <c r="O144" s="393">
        <v>10.3448275862069</v>
      </c>
      <c r="P144" s="393">
        <v>20</v>
      </c>
      <c r="Q144" s="393">
        <f t="shared" si="35"/>
        <v>2.73</v>
      </c>
      <c r="R144" s="393">
        <f t="shared" si="36"/>
        <v>33.074827586206901</v>
      </c>
      <c r="S144" s="370"/>
    </row>
    <row r="145" spans="1:19" ht="21" outlineLevel="1">
      <c r="A145" s="392" t="s">
        <v>1358</v>
      </c>
      <c r="B145" s="392" t="s">
        <v>1376</v>
      </c>
      <c r="C145" s="392" t="s">
        <v>1059</v>
      </c>
      <c r="D145" s="248" t="s">
        <v>1377</v>
      </c>
      <c r="E145" s="248" t="s">
        <v>1378</v>
      </c>
      <c r="F145" s="248" t="s">
        <v>1379</v>
      </c>
      <c r="G145" s="370" t="s">
        <v>1297</v>
      </c>
      <c r="H145" s="395"/>
      <c r="I145" s="395"/>
      <c r="J145" s="395">
        <f t="shared" si="31"/>
        <v>0</v>
      </c>
      <c r="K145" s="395">
        <f t="shared" si="32"/>
        <v>0</v>
      </c>
      <c r="L145" s="395">
        <f t="shared" si="33"/>
        <v>0</v>
      </c>
      <c r="M145" s="395">
        <f t="shared" si="34"/>
        <v>0</v>
      </c>
      <c r="N145" s="415"/>
      <c r="O145" s="393">
        <v>4.8275862068965498</v>
      </c>
      <c r="P145" s="393">
        <v>7</v>
      </c>
      <c r="Q145" s="393">
        <f t="shared" si="35"/>
        <v>1.06</v>
      </c>
      <c r="R145" s="393">
        <f t="shared" si="36"/>
        <v>12.88758620689655</v>
      </c>
      <c r="S145" s="370"/>
    </row>
    <row r="146" spans="1:19" ht="21" outlineLevel="1">
      <c r="A146" s="392" t="s">
        <v>1358</v>
      </c>
      <c r="B146" s="392" t="s">
        <v>1380</v>
      </c>
      <c r="C146" s="392" t="s">
        <v>1059</v>
      </c>
      <c r="D146" s="248" t="s">
        <v>1381</v>
      </c>
      <c r="E146" s="248" t="s">
        <v>1382</v>
      </c>
      <c r="F146" s="248" t="s">
        <v>1379</v>
      </c>
      <c r="G146" s="370" t="s">
        <v>1297</v>
      </c>
      <c r="H146" s="395">
        <f>288+8+4271</f>
        <v>4567</v>
      </c>
      <c r="I146" s="395">
        <f>18+15</f>
        <v>33</v>
      </c>
      <c r="J146" s="395">
        <f t="shared" si="31"/>
        <v>52449.63275862069</v>
      </c>
      <c r="K146" s="395">
        <f t="shared" si="32"/>
        <v>52449.63275862069</v>
      </c>
      <c r="L146" s="395">
        <f t="shared" si="33"/>
        <v>378.98793103448276</v>
      </c>
      <c r="M146" s="395">
        <f t="shared" si="34"/>
        <v>378.98793103448276</v>
      </c>
      <c r="N146" s="415"/>
      <c r="O146" s="393">
        <v>3.5344827586206899</v>
      </c>
      <c r="P146" s="393">
        <v>7</v>
      </c>
      <c r="Q146" s="393">
        <f t="shared" si="35"/>
        <v>0.95</v>
      </c>
      <c r="R146" s="393">
        <f t="shared" si="36"/>
        <v>11.48448275862069</v>
      </c>
      <c r="S146" s="370"/>
    </row>
    <row r="147" spans="1:19" ht="21" outlineLevel="1">
      <c r="A147" s="392" t="s">
        <v>1358</v>
      </c>
      <c r="B147" s="392" t="s">
        <v>1383</v>
      </c>
      <c r="C147" s="392" t="s">
        <v>1059</v>
      </c>
      <c r="D147" s="248" t="s">
        <v>1384</v>
      </c>
      <c r="E147" s="248" t="s">
        <v>1385</v>
      </c>
      <c r="F147" s="248" t="s">
        <v>1379</v>
      </c>
      <c r="G147" s="370" t="s">
        <v>1297</v>
      </c>
      <c r="H147" s="395"/>
      <c r="I147" s="395"/>
      <c r="J147" s="395">
        <f t="shared" si="31"/>
        <v>0</v>
      </c>
      <c r="K147" s="395">
        <f t="shared" si="32"/>
        <v>0</v>
      </c>
      <c r="L147" s="395">
        <f t="shared" si="33"/>
        <v>0</v>
      </c>
      <c r="M147" s="395">
        <f t="shared" si="34"/>
        <v>0</v>
      </c>
      <c r="N147" s="415"/>
      <c r="O147" s="393">
        <v>7.7586206896551699</v>
      </c>
      <c r="P147" s="393">
        <v>7</v>
      </c>
      <c r="Q147" s="393">
        <f t="shared" si="35"/>
        <v>1.33</v>
      </c>
      <c r="R147" s="393">
        <f t="shared" si="36"/>
        <v>16.088620689655173</v>
      </c>
      <c r="S147" s="370"/>
    </row>
    <row r="148" spans="1:19" ht="31.5" outlineLevel="1">
      <c r="A148" s="392" t="s">
        <v>1358</v>
      </c>
      <c r="B148" s="392" t="s">
        <v>1386</v>
      </c>
      <c r="C148" s="392" t="s">
        <v>1059</v>
      </c>
      <c r="D148" s="248" t="s">
        <v>1387</v>
      </c>
      <c r="E148" s="248" t="s">
        <v>1388</v>
      </c>
      <c r="F148" s="248" t="s">
        <v>1379</v>
      </c>
      <c r="G148" s="370" t="s">
        <v>1297</v>
      </c>
      <c r="H148" s="395"/>
      <c r="I148" s="395"/>
      <c r="J148" s="395">
        <f t="shared" si="31"/>
        <v>0</v>
      </c>
      <c r="K148" s="395">
        <f t="shared" si="32"/>
        <v>0</v>
      </c>
      <c r="L148" s="395">
        <f t="shared" si="33"/>
        <v>0</v>
      </c>
      <c r="M148" s="395">
        <f t="shared" si="34"/>
        <v>0</v>
      </c>
      <c r="N148" s="415"/>
      <c r="O148" s="393">
        <v>9.6551724137930997</v>
      </c>
      <c r="P148" s="393">
        <v>7</v>
      </c>
      <c r="Q148" s="393">
        <f t="shared" si="35"/>
        <v>1.5</v>
      </c>
      <c r="R148" s="393">
        <f t="shared" si="36"/>
        <v>18.1551724137931</v>
      </c>
      <c r="S148" s="370"/>
    </row>
    <row r="149" spans="1:19" ht="21" outlineLevel="1">
      <c r="A149" s="392" t="s">
        <v>1358</v>
      </c>
      <c r="B149" s="392" t="s">
        <v>1389</v>
      </c>
      <c r="C149" s="392" t="s">
        <v>1059</v>
      </c>
      <c r="D149" s="248" t="s">
        <v>1390</v>
      </c>
      <c r="E149" s="248" t="s">
        <v>1391</v>
      </c>
      <c r="F149" s="248" t="s">
        <v>1379</v>
      </c>
      <c r="G149" s="370" t="s">
        <v>1297</v>
      </c>
      <c r="H149" s="395"/>
      <c r="I149" s="395"/>
      <c r="J149" s="395">
        <f t="shared" si="31"/>
        <v>0</v>
      </c>
      <c r="K149" s="395">
        <f t="shared" si="32"/>
        <v>0</v>
      </c>
      <c r="L149" s="395">
        <f t="shared" si="33"/>
        <v>0</v>
      </c>
      <c r="M149" s="395">
        <f t="shared" si="34"/>
        <v>0</v>
      </c>
      <c r="N149" s="415"/>
      <c r="O149" s="393">
        <v>8.3620689655172402</v>
      </c>
      <c r="P149" s="393">
        <v>7</v>
      </c>
      <c r="Q149" s="393">
        <f t="shared" si="35"/>
        <v>1.38</v>
      </c>
      <c r="R149" s="393">
        <f t="shared" si="36"/>
        <v>16.742068965517241</v>
      </c>
      <c r="S149" s="370"/>
    </row>
    <row r="150" spans="1:19" ht="21" outlineLevel="1">
      <c r="A150" s="392" t="s">
        <v>1358</v>
      </c>
      <c r="B150" s="392" t="s">
        <v>1392</v>
      </c>
      <c r="C150" s="392" t="s">
        <v>1059</v>
      </c>
      <c r="D150" s="248" t="s">
        <v>1393</v>
      </c>
      <c r="E150" s="248" t="s">
        <v>1394</v>
      </c>
      <c r="F150" s="248" t="s">
        <v>1363</v>
      </c>
      <c r="G150" s="370" t="s">
        <v>1297</v>
      </c>
      <c r="H150" s="395">
        <v>7633</v>
      </c>
      <c r="I150" s="395"/>
      <c r="J150" s="395">
        <f t="shared" si="31"/>
        <v>44724.115862068989</v>
      </c>
      <c r="K150" s="395">
        <f t="shared" si="32"/>
        <v>44724.115862068989</v>
      </c>
      <c r="L150" s="395">
        <f t="shared" si="33"/>
        <v>0</v>
      </c>
      <c r="M150" s="395">
        <f t="shared" si="34"/>
        <v>0</v>
      </c>
      <c r="N150" s="415"/>
      <c r="O150" s="393">
        <v>1.3793103448275901</v>
      </c>
      <c r="P150" s="393">
        <v>4</v>
      </c>
      <c r="Q150" s="393">
        <f t="shared" si="35"/>
        <v>0.48</v>
      </c>
      <c r="R150" s="393">
        <f t="shared" si="36"/>
        <v>5.8593103448275894</v>
      </c>
      <c r="S150" s="370"/>
    </row>
    <row r="151" spans="1:19">
      <c r="A151" s="392" t="s">
        <v>1177</v>
      </c>
      <c r="B151" s="392" t="s">
        <v>1395</v>
      </c>
      <c r="C151" s="392" t="s">
        <v>1056</v>
      </c>
      <c r="D151" s="394" t="s">
        <v>1396</v>
      </c>
      <c r="E151" s="248"/>
      <c r="F151" s="248"/>
      <c r="G151" s="370"/>
      <c r="H151" s="395"/>
      <c r="I151" s="395"/>
      <c r="J151" s="395"/>
      <c r="K151" s="395"/>
      <c r="L151" s="395"/>
      <c r="M151" s="395"/>
      <c r="N151" s="416"/>
      <c r="O151" s="393"/>
      <c r="P151" s="393"/>
      <c r="Q151" s="393"/>
      <c r="R151" s="395"/>
      <c r="S151" s="370"/>
    </row>
    <row r="152" spans="1:19" ht="31.5" outlineLevel="1">
      <c r="A152" s="392" t="s">
        <v>1395</v>
      </c>
      <c r="B152" s="392" t="s">
        <v>1397</v>
      </c>
      <c r="C152" s="392" t="s">
        <v>1059</v>
      </c>
      <c r="D152" s="248" t="s">
        <v>1398</v>
      </c>
      <c r="E152" s="248"/>
      <c r="F152" s="248" t="s">
        <v>1399</v>
      </c>
      <c r="G152" s="370" t="s">
        <v>1400</v>
      </c>
      <c r="H152" s="395"/>
      <c r="I152" s="395">
        <v>251</v>
      </c>
      <c r="J152" s="395">
        <f t="shared" si="31"/>
        <v>0</v>
      </c>
      <c r="K152" s="395">
        <f t="shared" si="32"/>
        <v>0</v>
      </c>
      <c r="L152" s="395">
        <f t="shared" si="33"/>
        <v>6018.9800000000005</v>
      </c>
      <c r="M152" s="395">
        <f t="shared" si="34"/>
        <v>6018.9800000000005</v>
      </c>
      <c r="N152" s="415"/>
      <c r="O152" s="393"/>
      <c r="P152" s="393">
        <v>22</v>
      </c>
      <c r="Q152" s="393">
        <f t="shared" ref="Q152:Q166" si="37">ROUND((O152+P152)*0.09,2)</f>
        <v>1.98</v>
      </c>
      <c r="R152" s="393">
        <f t="shared" ref="R152:R166" si="38">P152+O152+Q152</f>
        <v>23.98</v>
      </c>
      <c r="S152" s="370"/>
    </row>
    <row r="153" spans="1:19" ht="21" outlineLevel="1">
      <c r="A153" s="392" t="s">
        <v>1395</v>
      </c>
      <c r="B153" s="392" t="s">
        <v>1401</v>
      </c>
      <c r="C153" s="392" t="s">
        <v>1059</v>
      </c>
      <c r="D153" s="248" t="s">
        <v>1402</v>
      </c>
      <c r="E153" s="248" t="s">
        <v>1403</v>
      </c>
      <c r="F153" s="248" t="s">
        <v>1404</v>
      </c>
      <c r="G153" s="370" t="s">
        <v>1063</v>
      </c>
      <c r="H153" s="395">
        <v>3727.24</v>
      </c>
      <c r="I153" s="395"/>
      <c r="J153" s="395">
        <f t="shared" si="31"/>
        <v>64686.250199999995</v>
      </c>
      <c r="K153" s="395">
        <f t="shared" si="32"/>
        <v>64686.250199999995</v>
      </c>
      <c r="L153" s="395">
        <f t="shared" si="33"/>
        <v>0</v>
      </c>
      <c r="M153" s="395">
        <f t="shared" si="34"/>
        <v>0</v>
      </c>
      <c r="N153" s="415"/>
      <c r="O153" s="393">
        <v>3.9249999999999998</v>
      </c>
      <c r="P153" s="393">
        <v>12</v>
      </c>
      <c r="Q153" s="393">
        <f t="shared" si="37"/>
        <v>1.43</v>
      </c>
      <c r="R153" s="393">
        <f t="shared" si="38"/>
        <v>17.355</v>
      </c>
      <c r="S153" s="370"/>
    </row>
    <row r="154" spans="1:19" ht="21" outlineLevel="1">
      <c r="A154" s="392" t="s">
        <v>1395</v>
      </c>
      <c r="B154" s="392" t="s">
        <v>1405</v>
      </c>
      <c r="C154" s="392" t="s">
        <v>1059</v>
      </c>
      <c r="D154" s="248" t="s">
        <v>1402</v>
      </c>
      <c r="E154" s="248" t="s">
        <v>1406</v>
      </c>
      <c r="F154" s="248" t="s">
        <v>1404</v>
      </c>
      <c r="G154" s="370" t="s">
        <v>1063</v>
      </c>
      <c r="H154" s="395">
        <v>1367.68</v>
      </c>
      <c r="I154" s="395">
        <v>1853.87</v>
      </c>
      <c r="J154" s="395">
        <f t="shared" si="31"/>
        <v>30239.4048</v>
      </c>
      <c r="K154" s="395">
        <f t="shared" si="32"/>
        <v>30239.4048</v>
      </c>
      <c r="L154" s="395">
        <f t="shared" si="33"/>
        <v>40989.065699999999</v>
      </c>
      <c r="M154" s="395">
        <f t="shared" si="34"/>
        <v>40989.065699999999</v>
      </c>
      <c r="N154" s="415"/>
      <c r="O154" s="393">
        <v>6.28</v>
      </c>
      <c r="P154" s="393">
        <v>14</v>
      </c>
      <c r="Q154" s="393">
        <f t="shared" si="37"/>
        <v>1.83</v>
      </c>
      <c r="R154" s="393">
        <f t="shared" si="38"/>
        <v>22.11</v>
      </c>
      <c r="S154" s="370"/>
    </row>
    <row r="155" spans="1:19" ht="21" outlineLevel="1">
      <c r="A155" s="392" t="s">
        <v>1395</v>
      </c>
      <c r="B155" s="392" t="s">
        <v>1407</v>
      </c>
      <c r="C155" s="392" t="s">
        <v>1059</v>
      </c>
      <c r="D155" s="248" t="s">
        <v>1408</v>
      </c>
      <c r="E155" s="248" t="s">
        <v>1406</v>
      </c>
      <c r="F155" s="248" t="s">
        <v>1409</v>
      </c>
      <c r="G155" s="370" t="s">
        <v>1063</v>
      </c>
      <c r="H155" s="395">
        <v>1096.26</v>
      </c>
      <c r="I155" s="395"/>
      <c r="J155" s="395">
        <f t="shared" si="31"/>
        <v>28453.4283</v>
      </c>
      <c r="K155" s="395">
        <f t="shared" si="32"/>
        <v>28453.4283</v>
      </c>
      <c r="L155" s="395">
        <f t="shared" si="33"/>
        <v>0</v>
      </c>
      <c r="M155" s="395">
        <f t="shared" si="34"/>
        <v>0</v>
      </c>
      <c r="N155" s="415"/>
      <c r="O155" s="393">
        <v>9.8149999999999995</v>
      </c>
      <c r="P155" s="393">
        <v>14</v>
      </c>
      <c r="Q155" s="393">
        <f t="shared" si="37"/>
        <v>2.14</v>
      </c>
      <c r="R155" s="393">
        <f t="shared" si="38"/>
        <v>25.954999999999998</v>
      </c>
      <c r="S155" s="370"/>
    </row>
    <row r="156" spans="1:19" ht="21" outlineLevel="1">
      <c r="A156" s="392" t="s">
        <v>1395</v>
      </c>
      <c r="B156" s="392" t="s">
        <v>1410</v>
      </c>
      <c r="C156" s="392" t="s">
        <v>1059</v>
      </c>
      <c r="D156" s="248" t="s">
        <v>1411</v>
      </c>
      <c r="E156" s="248" t="s">
        <v>1412</v>
      </c>
      <c r="F156" s="248" t="s">
        <v>1409</v>
      </c>
      <c r="G156" s="370" t="s">
        <v>1063</v>
      </c>
      <c r="H156" s="395"/>
      <c r="I156" s="395"/>
      <c r="J156" s="395">
        <f t="shared" si="31"/>
        <v>0</v>
      </c>
      <c r="K156" s="395">
        <f t="shared" si="32"/>
        <v>0</v>
      </c>
      <c r="L156" s="395">
        <f t="shared" si="33"/>
        <v>0</v>
      </c>
      <c r="M156" s="395">
        <f t="shared" si="34"/>
        <v>0</v>
      </c>
      <c r="N156" s="415"/>
      <c r="O156" s="393">
        <f>0.00617*12*12*5</f>
        <v>4.4424000000000001</v>
      </c>
      <c r="P156" s="393">
        <v>15</v>
      </c>
      <c r="Q156" s="393">
        <f t="shared" si="37"/>
        <v>1.75</v>
      </c>
      <c r="R156" s="393">
        <f t="shared" si="38"/>
        <v>21.192399999999999</v>
      </c>
      <c r="S156" s="370"/>
    </row>
    <row r="157" spans="1:19" ht="21" outlineLevel="1">
      <c r="A157" s="392" t="s">
        <v>1395</v>
      </c>
      <c r="B157" s="392" t="s">
        <v>1413</v>
      </c>
      <c r="C157" s="392" t="s">
        <v>1059</v>
      </c>
      <c r="D157" s="248" t="s">
        <v>1414</v>
      </c>
      <c r="E157" s="248" t="s">
        <v>1412</v>
      </c>
      <c r="F157" s="248" t="s">
        <v>1415</v>
      </c>
      <c r="G157" s="370" t="s">
        <v>1063</v>
      </c>
      <c r="H157" s="395">
        <v>1825.69</v>
      </c>
      <c r="I157" s="395"/>
      <c r="J157" s="395">
        <f t="shared" si="31"/>
        <v>34710.748555999999</v>
      </c>
      <c r="K157" s="395">
        <f t="shared" si="32"/>
        <v>34710.748555999999</v>
      </c>
      <c r="L157" s="395">
        <f t="shared" si="33"/>
        <v>0</v>
      </c>
      <c r="M157" s="395">
        <f t="shared" si="34"/>
        <v>0</v>
      </c>
      <c r="N157" s="415"/>
      <c r="O157" s="393">
        <f>0.00617*12*12*5</f>
        <v>4.4424000000000001</v>
      </c>
      <c r="P157" s="393">
        <v>13</v>
      </c>
      <c r="Q157" s="393">
        <f t="shared" si="37"/>
        <v>1.57</v>
      </c>
      <c r="R157" s="393">
        <f t="shared" si="38"/>
        <v>19.0124</v>
      </c>
      <c r="S157" s="370"/>
    </row>
    <row r="158" spans="1:19" ht="21" outlineLevel="1">
      <c r="A158" s="392" t="s">
        <v>1395</v>
      </c>
      <c r="B158" s="392" t="s">
        <v>1416</v>
      </c>
      <c r="C158" s="392" t="s">
        <v>1059</v>
      </c>
      <c r="D158" s="248" t="s">
        <v>1414</v>
      </c>
      <c r="E158" s="248" t="s">
        <v>1417</v>
      </c>
      <c r="F158" s="248" t="s">
        <v>1415</v>
      </c>
      <c r="G158" s="370" t="s">
        <v>1063</v>
      </c>
      <c r="H158" s="395"/>
      <c r="I158" s="395"/>
      <c r="J158" s="395">
        <f t="shared" si="31"/>
        <v>0</v>
      </c>
      <c r="K158" s="395">
        <f t="shared" si="32"/>
        <v>0</v>
      </c>
      <c r="L158" s="395">
        <f t="shared" si="33"/>
        <v>0</v>
      </c>
      <c r="M158" s="395">
        <f t="shared" si="34"/>
        <v>0</v>
      </c>
      <c r="N158" s="415"/>
      <c r="O158" s="393">
        <f>0.00617*10*10*5</f>
        <v>3.085</v>
      </c>
      <c r="P158" s="393">
        <v>12</v>
      </c>
      <c r="Q158" s="393">
        <f t="shared" si="37"/>
        <v>1.36</v>
      </c>
      <c r="R158" s="393">
        <f t="shared" si="38"/>
        <v>16.445</v>
      </c>
      <c r="S158" s="370"/>
    </row>
    <row r="159" spans="1:19" ht="21" outlineLevel="1">
      <c r="A159" s="392" t="s">
        <v>1395</v>
      </c>
      <c r="B159" s="392" t="s">
        <v>1418</v>
      </c>
      <c r="C159" s="392" t="s">
        <v>1059</v>
      </c>
      <c r="D159" s="248" t="s">
        <v>1419</v>
      </c>
      <c r="E159" s="248"/>
      <c r="F159" s="248" t="s">
        <v>1420</v>
      </c>
      <c r="G159" s="370" t="s">
        <v>1063</v>
      </c>
      <c r="H159" s="395">
        <v>18107.439999999999</v>
      </c>
      <c r="I159" s="395">
        <v>575.83000000000004</v>
      </c>
      <c r="J159" s="395">
        <f t="shared" si="31"/>
        <v>98685.547999999995</v>
      </c>
      <c r="K159" s="395">
        <f t="shared" si="32"/>
        <v>98685.547999999995</v>
      </c>
      <c r="L159" s="395">
        <f t="shared" si="33"/>
        <v>3138.2735000000002</v>
      </c>
      <c r="M159" s="395">
        <f t="shared" si="34"/>
        <v>3138.2735000000002</v>
      </c>
      <c r="N159" s="415"/>
      <c r="O159" s="393"/>
      <c r="P159" s="393">
        <v>5</v>
      </c>
      <c r="Q159" s="393">
        <f t="shared" si="37"/>
        <v>0.45</v>
      </c>
      <c r="R159" s="393">
        <f t="shared" si="38"/>
        <v>5.45</v>
      </c>
      <c r="S159" s="370"/>
    </row>
    <row r="160" spans="1:19" ht="31.5" outlineLevel="1">
      <c r="A160" s="392" t="s">
        <v>1395</v>
      </c>
      <c r="B160" s="392" t="s">
        <v>1421</v>
      </c>
      <c r="C160" s="392" t="s">
        <v>1059</v>
      </c>
      <c r="D160" s="248" t="s">
        <v>1422</v>
      </c>
      <c r="E160" s="248" t="s">
        <v>1423</v>
      </c>
      <c r="F160" s="248" t="s">
        <v>1399</v>
      </c>
      <c r="G160" s="370" t="s">
        <v>1063</v>
      </c>
      <c r="H160" s="395">
        <v>7500</v>
      </c>
      <c r="I160" s="395">
        <v>2305</v>
      </c>
      <c r="J160" s="395">
        <f t="shared" si="31"/>
        <v>57225</v>
      </c>
      <c r="K160" s="395">
        <f t="shared" si="32"/>
        <v>57225</v>
      </c>
      <c r="L160" s="395">
        <f t="shared" si="33"/>
        <v>17587.150000000001</v>
      </c>
      <c r="M160" s="395">
        <f t="shared" si="34"/>
        <v>17587.150000000001</v>
      </c>
      <c r="N160" s="415"/>
      <c r="O160" s="393"/>
      <c r="P160" s="393">
        <v>7</v>
      </c>
      <c r="Q160" s="393">
        <f t="shared" si="37"/>
        <v>0.63</v>
      </c>
      <c r="R160" s="393">
        <f t="shared" si="38"/>
        <v>7.63</v>
      </c>
      <c r="S160" s="370"/>
    </row>
    <row r="161" spans="1:19" ht="31.5" outlineLevel="1">
      <c r="A161" s="392" t="s">
        <v>1395</v>
      </c>
      <c r="B161" s="392" t="s">
        <v>1424</v>
      </c>
      <c r="C161" s="392" t="s">
        <v>1059</v>
      </c>
      <c r="D161" s="248" t="s">
        <v>1422</v>
      </c>
      <c r="E161" s="248" t="s">
        <v>1425</v>
      </c>
      <c r="F161" s="248" t="s">
        <v>1399</v>
      </c>
      <c r="G161" s="370" t="s">
        <v>1063</v>
      </c>
      <c r="H161" s="395"/>
      <c r="I161" s="395"/>
      <c r="J161" s="395">
        <f t="shared" si="31"/>
        <v>0</v>
      </c>
      <c r="K161" s="395">
        <f t="shared" si="32"/>
        <v>0</v>
      </c>
      <c r="L161" s="395">
        <f t="shared" si="33"/>
        <v>0</v>
      </c>
      <c r="M161" s="395">
        <f t="shared" si="34"/>
        <v>0</v>
      </c>
      <c r="N161" s="415"/>
      <c r="O161" s="393"/>
      <c r="P161" s="393">
        <v>10</v>
      </c>
      <c r="Q161" s="393">
        <f t="shared" si="37"/>
        <v>0.9</v>
      </c>
      <c r="R161" s="393">
        <f t="shared" si="38"/>
        <v>10.9</v>
      </c>
      <c r="S161" s="370"/>
    </row>
    <row r="162" spans="1:19" ht="42" outlineLevel="1">
      <c r="A162" s="392" t="s">
        <v>1395</v>
      </c>
      <c r="B162" s="392" t="s">
        <v>1426</v>
      </c>
      <c r="C162" s="392" t="s">
        <v>1059</v>
      </c>
      <c r="D162" s="248" t="s">
        <v>1427</v>
      </c>
      <c r="E162" s="248"/>
      <c r="F162" s="248" t="s">
        <v>1399</v>
      </c>
      <c r="G162" s="370" t="s">
        <v>1063</v>
      </c>
      <c r="H162" s="395"/>
      <c r="I162" s="395"/>
      <c r="J162" s="395">
        <f t="shared" si="31"/>
        <v>0</v>
      </c>
      <c r="K162" s="395">
        <f t="shared" si="32"/>
        <v>0</v>
      </c>
      <c r="L162" s="395">
        <f t="shared" si="33"/>
        <v>0</v>
      </c>
      <c r="M162" s="395">
        <f t="shared" si="34"/>
        <v>0</v>
      </c>
      <c r="N162" s="415"/>
      <c r="O162" s="393"/>
      <c r="P162" s="393">
        <v>5</v>
      </c>
      <c r="Q162" s="393">
        <f t="shared" si="37"/>
        <v>0.45</v>
      </c>
      <c r="R162" s="393">
        <f t="shared" si="38"/>
        <v>5.45</v>
      </c>
      <c r="S162" s="370"/>
    </row>
    <row r="163" spans="1:19" ht="31.5" outlineLevel="1">
      <c r="A163" s="392" t="s">
        <v>1395</v>
      </c>
      <c r="B163" s="392" t="s">
        <v>1428</v>
      </c>
      <c r="C163" s="392" t="s">
        <v>1059</v>
      </c>
      <c r="D163" s="248" t="s">
        <v>1429</v>
      </c>
      <c r="E163" s="248" t="s">
        <v>1430</v>
      </c>
      <c r="F163" s="248" t="s">
        <v>1404</v>
      </c>
      <c r="G163" s="370" t="s">
        <v>524</v>
      </c>
      <c r="H163" s="395"/>
      <c r="I163" s="395">
        <v>10</v>
      </c>
      <c r="J163" s="395">
        <f t="shared" si="31"/>
        <v>0</v>
      </c>
      <c r="K163" s="395">
        <f t="shared" si="32"/>
        <v>0</v>
      </c>
      <c r="L163" s="395">
        <f t="shared" si="33"/>
        <v>304.19913793103444</v>
      </c>
      <c r="M163" s="395">
        <f t="shared" si="34"/>
        <v>304.19913793103444</v>
      </c>
      <c r="N163" s="415"/>
      <c r="O163" s="393">
        <v>2.90991379310345</v>
      </c>
      <c r="P163" s="393">
        <v>25</v>
      </c>
      <c r="Q163" s="393">
        <f t="shared" si="37"/>
        <v>2.5099999999999998</v>
      </c>
      <c r="R163" s="393">
        <f t="shared" si="38"/>
        <v>30.419913793103447</v>
      </c>
      <c r="S163" s="370"/>
    </row>
    <row r="164" spans="1:19" outlineLevel="1">
      <c r="A164" s="392" t="s">
        <v>1395</v>
      </c>
      <c r="B164" s="392" t="s">
        <v>1431</v>
      </c>
      <c r="C164" s="392" t="s">
        <v>1059</v>
      </c>
      <c r="D164" s="248" t="s">
        <v>1432</v>
      </c>
      <c r="E164" s="248"/>
      <c r="F164" s="248" t="s">
        <v>660</v>
      </c>
      <c r="G164" s="370" t="s">
        <v>1400</v>
      </c>
      <c r="H164" s="395">
        <v>8</v>
      </c>
      <c r="I164" s="395"/>
      <c r="J164" s="395">
        <f t="shared" si="31"/>
        <v>261.60000000000002</v>
      </c>
      <c r="K164" s="395">
        <f t="shared" si="32"/>
        <v>261.60000000000002</v>
      </c>
      <c r="L164" s="395">
        <f t="shared" si="33"/>
        <v>0</v>
      </c>
      <c r="M164" s="395">
        <f t="shared" si="34"/>
        <v>0</v>
      </c>
      <c r="N164" s="415"/>
      <c r="O164" s="393"/>
      <c r="P164" s="393">
        <v>30</v>
      </c>
      <c r="Q164" s="393">
        <f t="shared" si="37"/>
        <v>2.7</v>
      </c>
      <c r="R164" s="393">
        <f t="shared" si="38"/>
        <v>32.700000000000003</v>
      </c>
      <c r="S164" s="370"/>
    </row>
    <row r="165" spans="1:19" outlineLevel="1">
      <c r="A165" s="392" t="s">
        <v>1395</v>
      </c>
      <c r="B165" s="392" t="s">
        <v>1433</v>
      </c>
      <c r="C165" s="392" t="s">
        <v>1059</v>
      </c>
      <c r="D165" s="248" t="s">
        <v>1434</v>
      </c>
      <c r="E165" s="248"/>
      <c r="F165" s="248" t="s">
        <v>1435</v>
      </c>
      <c r="G165" s="370" t="s">
        <v>1436</v>
      </c>
      <c r="H165" s="395"/>
      <c r="I165" s="395">
        <v>1</v>
      </c>
      <c r="J165" s="395">
        <f t="shared" si="31"/>
        <v>0</v>
      </c>
      <c r="K165" s="395">
        <f t="shared" si="32"/>
        <v>0</v>
      </c>
      <c r="L165" s="395">
        <f t="shared" si="33"/>
        <v>872</v>
      </c>
      <c r="M165" s="395">
        <f t="shared" si="34"/>
        <v>872</v>
      </c>
      <c r="N165" s="415"/>
      <c r="O165" s="393"/>
      <c r="P165" s="393">
        <v>800</v>
      </c>
      <c r="Q165" s="393">
        <f t="shared" si="37"/>
        <v>72</v>
      </c>
      <c r="R165" s="393">
        <f t="shared" si="38"/>
        <v>872</v>
      </c>
      <c r="S165" s="370"/>
    </row>
    <row r="166" spans="1:19" ht="21" outlineLevel="1">
      <c r="A166" s="392" t="s">
        <v>1395</v>
      </c>
      <c r="B166" s="392" t="s">
        <v>1437</v>
      </c>
      <c r="C166" s="392" t="s">
        <v>1059</v>
      </c>
      <c r="D166" s="248" t="s">
        <v>1438</v>
      </c>
      <c r="E166" s="248"/>
      <c r="F166" s="248" t="s">
        <v>1439</v>
      </c>
      <c r="G166" s="370" t="s">
        <v>2107</v>
      </c>
      <c r="H166" s="395"/>
      <c r="I166" s="395">
        <v>101610.82</v>
      </c>
      <c r="J166" s="395">
        <f t="shared" si="31"/>
        <v>0</v>
      </c>
      <c r="K166" s="395">
        <f t="shared" si="32"/>
        <v>0</v>
      </c>
      <c r="L166" s="395">
        <f t="shared" si="33"/>
        <v>110755.79380000001</v>
      </c>
      <c r="M166" s="395">
        <f t="shared" si="34"/>
        <v>110755.79380000001</v>
      </c>
      <c r="N166" s="415"/>
      <c r="O166" s="393"/>
      <c r="P166" s="393">
        <v>1</v>
      </c>
      <c r="Q166" s="393">
        <f t="shared" si="37"/>
        <v>0.09</v>
      </c>
      <c r="R166" s="393">
        <f t="shared" si="38"/>
        <v>1.0900000000000001</v>
      </c>
      <c r="S166" s="370" t="s">
        <v>1440</v>
      </c>
    </row>
    <row r="167" spans="1:19">
      <c r="A167" s="392" t="s">
        <v>1177</v>
      </c>
      <c r="B167" s="392" t="s">
        <v>1441</v>
      </c>
      <c r="C167" s="392" t="s">
        <v>1056</v>
      </c>
      <c r="D167" s="394" t="s">
        <v>1442</v>
      </c>
      <c r="E167" s="248"/>
      <c r="F167" s="248"/>
      <c r="G167" s="370"/>
      <c r="H167" s="395"/>
      <c r="I167" s="395"/>
      <c r="J167" s="395"/>
      <c r="K167" s="395"/>
      <c r="L167" s="395"/>
      <c r="M167" s="395"/>
      <c r="N167" s="416"/>
      <c r="O167" s="393"/>
      <c r="P167" s="393"/>
      <c r="Q167" s="393"/>
      <c r="R167" s="395"/>
      <c r="S167" s="370"/>
    </row>
    <row r="168" spans="1:19" ht="73.5" outlineLevel="1">
      <c r="A168" s="392" t="s">
        <v>1441</v>
      </c>
      <c r="B168" s="392" t="s">
        <v>1443</v>
      </c>
      <c r="C168" s="392" t="s">
        <v>1059</v>
      </c>
      <c r="D168" s="247" t="s">
        <v>1444</v>
      </c>
      <c r="E168" s="248" t="s">
        <v>1445</v>
      </c>
      <c r="F168" s="248" t="s">
        <v>1446</v>
      </c>
      <c r="G168" s="370" t="s">
        <v>1063</v>
      </c>
      <c r="H168" s="395"/>
      <c r="I168" s="395"/>
      <c r="J168" s="395">
        <f t="shared" si="31"/>
        <v>0</v>
      </c>
      <c r="K168" s="395">
        <f t="shared" si="32"/>
        <v>0</v>
      </c>
      <c r="L168" s="395">
        <f t="shared" si="33"/>
        <v>0</v>
      </c>
      <c r="M168" s="395">
        <f t="shared" si="34"/>
        <v>0</v>
      </c>
      <c r="N168" s="415"/>
      <c r="O168" s="393">
        <v>14.439655172413801</v>
      </c>
      <c r="P168" s="393">
        <v>30</v>
      </c>
      <c r="Q168" s="393">
        <f t="shared" ref="Q168:Q194" si="39">ROUND((O168+P168)*0.09,2)</f>
        <v>4</v>
      </c>
      <c r="R168" s="393">
        <f t="shared" ref="R168:R194" si="40">P168+O168+Q168</f>
        <v>48.439655172413801</v>
      </c>
      <c r="S168" s="370"/>
    </row>
    <row r="169" spans="1:19" ht="73.5" outlineLevel="1">
      <c r="A169" s="392" t="s">
        <v>1441</v>
      </c>
      <c r="B169" s="392" t="s">
        <v>1447</v>
      </c>
      <c r="C169" s="392" t="s">
        <v>1059</v>
      </c>
      <c r="D169" s="247" t="s">
        <v>1444</v>
      </c>
      <c r="E169" s="248" t="s">
        <v>1448</v>
      </c>
      <c r="F169" s="248" t="s">
        <v>1446</v>
      </c>
      <c r="G169" s="370" t="s">
        <v>1063</v>
      </c>
      <c r="H169" s="395">
        <v>185</v>
      </c>
      <c r="I169" s="395">
        <f>54+9.6</f>
        <v>63.6</v>
      </c>
      <c r="J169" s="395">
        <f t="shared" si="31"/>
        <v>11929.401201198276</v>
      </c>
      <c r="K169" s="395">
        <f t="shared" si="32"/>
        <v>11929.401201198276</v>
      </c>
      <c r="L169" s="395">
        <f t="shared" si="33"/>
        <v>4101.1346832227591</v>
      </c>
      <c r="M169" s="395">
        <f t="shared" si="34"/>
        <v>4101.1346832227591</v>
      </c>
      <c r="N169" s="415"/>
      <c r="O169" s="393">
        <v>19.1632497362069</v>
      </c>
      <c r="P169" s="393">
        <v>40</v>
      </c>
      <c r="Q169" s="393">
        <f t="shared" si="39"/>
        <v>5.32</v>
      </c>
      <c r="R169" s="393">
        <f t="shared" si="40"/>
        <v>64.483249736206901</v>
      </c>
      <c r="S169" s="370"/>
    </row>
    <row r="170" spans="1:19" ht="73.5" outlineLevel="1">
      <c r="A170" s="392" t="s">
        <v>1441</v>
      </c>
      <c r="B170" s="392" t="s">
        <v>1449</v>
      </c>
      <c r="C170" s="392" t="s">
        <v>1059</v>
      </c>
      <c r="D170" s="247" t="s">
        <v>1444</v>
      </c>
      <c r="E170" s="248" t="s">
        <v>1450</v>
      </c>
      <c r="F170" s="248" t="s">
        <v>1446</v>
      </c>
      <c r="G170" s="370" t="s">
        <v>1063</v>
      </c>
      <c r="H170" s="395"/>
      <c r="I170" s="395"/>
      <c r="J170" s="395">
        <f t="shared" si="31"/>
        <v>0</v>
      </c>
      <c r="K170" s="395">
        <f t="shared" si="32"/>
        <v>0</v>
      </c>
      <c r="L170" s="395">
        <f t="shared" si="33"/>
        <v>0</v>
      </c>
      <c r="M170" s="395">
        <f t="shared" si="34"/>
        <v>0</v>
      </c>
      <c r="N170" s="415"/>
      <c r="O170" s="393">
        <v>22.315100021767201</v>
      </c>
      <c r="P170" s="393">
        <v>40</v>
      </c>
      <c r="Q170" s="393">
        <f t="shared" si="39"/>
        <v>5.61</v>
      </c>
      <c r="R170" s="393">
        <f t="shared" si="40"/>
        <v>67.925100021767207</v>
      </c>
      <c r="S170" s="370"/>
    </row>
    <row r="171" spans="1:19" ht="73.5" outlineLevel="1">
      <c r="A171" s="392" t="s">
        <v>1441</v>
      </c>
      <c r="B171" s="392" t="s">
        <v>1451</v>
      </c>
      <c r="C171" s="392" t="s">
        <v>1059</v>
      </c>
      <c r="D171" s="247" t="s">
        <v>1444</v>
      </c>
      <c r="E171" s="248" t="s">
        <v>1452</v>
      </c>
      <c r="F171" s="248" t="s">
        <v>1446</v>
      </c>
      <c r="G171" s="370" t="s">
        <v>1063</v>
      </c>
      <c r="H171" s="395">
        <v>5040</v>
      </c>
      <c r="I171" s="395">
        <f>220.48+53</f>
        <v>273.48</v>
      </c>
      <c r="J171" s="395">
        <f t="shared" si="31"/>
        <v>387107.02954893117</v>
      </c>
      <c r="K171" s="395">
        <f t="shared" si="32"/>
        <v>387107.02954893117</v>
      </c>
      <c r="L171" s="395">
        <f t="shared" si="33"/>
        <v>21005.164770047955</v>
      </c>
      <c r="M171" s="395">
        <f t="shared" si="34"/>
        <v>21005.164770047955</v>
      </c>
      <c r="N171" s="415"/>
      <c r="O171" s="393">
        <v>25.4669503073276</v>
      </c>
      <c r="P171" s="393">
        <v>45</v>
      </c>
      <c r="Q171" s="393">
        <f t="shared" si="39"/>
        <v>6.34</v>
      </c>
      <c r="R171" s="393">
        <f t="shared" si="40"/>
        <v>76.806950307327611</v>
      </c>
      <c r="S171" s="370"/>
    </row>
    <row r="172" spans="1:19" ht="73.5" outlineLevel="1">
      <c r="A172" s="392" t="s">
        <v>1441</v>
      </c>
      <c r="B172" s="392" t="s">
        <v>1453</v>
      </c>
      <c r="C172" s="392" t="s">
        <v>1059</v>
      </c>
      <c r="D172" s="247" t="s">
        <v>1444</v>
      </c>
      <c r="E172" s="248" t="s">
        <v>1454</v>
      </c>
      <c r="F172" s="248" t="s">
        <v>1446</v>
      </c>
      <c r="G172" s="370" t="s">
        <v>1063</v>
      </c>
      <c r="H172" s="395"/>
      <c r="I172" s="395"/>
      <c r="J172" s="395">
        <f t="shared" si="31"/>
        <v>0</v>
      </c>
      <c r="K172" s="395">
        <f t="shared" si="32"/>
        <v>0</v>
      </c>
      <c r="L172" s="395">
        <f t="shared" si="33"/>
        <v>0</v>
      </c>
      <c r="M172" s="395">
        <f t="shared" si="34"/>
        <v>0</v>
      </c>
      <c r="N172" s="415"/>
      <c r="O172" s="393">
        <v>27.0428754501078</v>
      </c>
      <c r="P172" s="393">
        <v>45</v>
      </c>
      <c r="Q172" s="393">
        <f t="shared" si="39"/>
        <v>6.48</v>
      </c>
      <c r="R172" s="393">
        <f t="shared" si="40"/>
        <v>78.522875450107804</v>
      </c>
      <c r="S172" s="370"/>
    </row>
    <row r="173" spans="1:19" ht="73.5" outlineLevel="1">
      <c r="A173" s="392" t="s">
        <v>1441</v>
      </c>
      <c r="B173" s="392" t="s">
        <v>1455</v>
      </c>
      <c r="C173" s="392" t="s">
        <v>1059</v>
      </c>
      <c r="D173" s="247" t="s">
        <v>1444</v>
      </c>
      <c r="E173" s="248" t="s">
        <v>1456</v>
      </c>
      <c r="F173" s="248" t="s">
        <v>1446</v>
      </c>
      <c r="G173" s="370" t="s">
        <v>1063</v>
      </c>
      <c r="H173" s="395">
        <v>455</v>
      </c>
      <c r="I173" s="395">
        <v>19.22</v>
      </c>
      <c r="J173" s="395">
        <f t="shared" si="31"/>
        <v>37293.950209728981</v>
      </c>
      <c r="K173" s="395">
        <f t="shared" si="32"/>
        <v>37293.950209728981</v>
      </c>
      <c r="L173" s="395">
        <f t="shared" si="33"/>
        <v>1575.3620286395408</v>
      </c>
      <c r="M173" s="395">
        <f t="shared" si="34"/>
        <v>1575.3620286395408</v>
      </c>
      <c r="N173" s="415"/>
      <c r="O173" s="393">
        <v>30.194725735668101</v>
      </c>
      <c r="P173" s="393">
        <v>45</v>
      </c>
      <c r="Q173" s="393">
        <f t="shared" si="39"/>
        <v>6.77</v>
      </c>
      <c r="R173" s="393">
        <f t="shared" si="40"/>
        <v>81.964725735668097</v>
      </c>
      <c r="S173" s="370"/>
    </row>
    <row r="174" spans="1:19" ht="73.5" outlineLevel="1">
      <c r="A174" s="392" t="s">
        <v>1441</v>
      </c>
      <c r="B174" s="392" t="s">
        <v>1457</v>
      </c>
      <c r="C174" s="392" t="s">
        <v>1059</v>
      </c>
      <c r="D174" s="247" t="s">
        <v>1444</v>
      </c>
      <c r="E174" s="248" t="s">
        <v>1458</v>
      </c>
      <c r="F174" s="248" t="s">
        <v>1446</v>
      </c>
      <c r="G174" s="370" t="s">
        <v>1063</v>
      </c>
      <c r="H174" s="395">
        <v>565</v>
      </c>
      <c r="I174" s="395">
        <f>56.17+46.23</f>
        <v>102.4</v>
      </c>
      <c r="J174" s="395">
        <f t="shared" si="31"/>
        <v>49218.563157664852</v>
      </c>
      <c r="K174" s="395">
        <f t="shared" si="32"/>
        <v>49218.563157664852</v>
      </c>
      <c r="L174" s="395">
        <f t="shared" si="33"/>
        <v>8920.3201191944809</v>
      </c>
      <c r="M174" s="395">
        <f t="shared" si="34"/>
        <v>8920.3201191944809</v>
      </c>
      <c r="N174" s="415"/>
      <c r="O174" s="393">
        <v>34.922501164008601</v>
      </c>
      <c r="P174" s="393">
        <v>45</v>
      </c>
      <c r="Q174" s="393">
        <f t="shared" si="39"/>
        <v>7.19</v>
      </c>
      <c r="R174" s="393">
        <f t="shared" si="40"/>
        <v>87.112501164008592</v>
      </c>
      <c r="S174" s="370"/>
    </row>
    <row r="175" spans="1:19" ht="73.5" outlineLevel="1">
      <c r="A175" s="392" t="s">
        <v>1441</v>
      </c>
      <c r="B175" s="392" t="s">
        <v>1459</v>
      </c>
      <c r="C175" s="392" t="s">
        <v>1059</v>
      </c>
      <c r="D175" s="247" t="s">
        <v>1444</v>
      </c>
      <c r="E175" s="248" t="s">
        <v>1460</v>
      </c>
      <c r="F175" s="248" t="s">
        <v>1446</v>
      </c>
      <c r="G175" s="370" t="s">
        <v>1063</v>
      </c>
      <c r="H175" s="395"/>
      <c r="I175" s="395"/>
      <c r="J175" s="395">
        <f t="shared" si="31"/>
        <v>0</v>
      </c>
      <c r="K175" s="395">
        <f t="shared" si="32"/>
        <v>0</v>
      </c>
      <c r="L175" s="395">
        <f t="shared" si="33"/>
        <v>0</v>
      </c>
      <c r="M175" s="395">
        <f t="shared" si="34"/>
        <v>0</v>
      </c>
      <c r="N175" s="415"/>
      <c r="O175" s="393">
        <v>41.226201735129301</v>
      </c>
      <c r="P175" s="393">
        <v>45</v>
      </c>
      <c r="Q175" s="393">
        <f t="shared" si="39"/>
        <v>7.76</v>
      </c>
      <c r="R175" s="393">
        <f t="shared" si="40"/>
        <v>93.986201735129313</v>
      </c>
      <c r="S175" s="370"/>
    </row>
    <row r="176" spans="1:19" ht="73.5" outlineLevel="1">
      <c r="A176" s="392" t="s">
        <v>1441</v>
      </c>
      <c r="B176" s="392" t="s">
        <v>1461</v>
      </c>
      <c r="C176" s="392" t="s">
        <v>1059</v>
      </c>
      <c r="D176" s="247" t="s">
        <v>1444</v>
      </c>
      <c r="E176" s="248" t="s">
        <v>1462</v>
      </c>
      <c r="F176" s="248" t="s">
        <v>1446</v>
      </c>
      <c r="G176" s="370" t="s">
        <v>1063</v>
      </c>
      <c r="H176" s="395"/>
      <c r="I176" s="395">
        <f>37.96+39.32</f>
        <v>77.28</v>
      </c>
      <c r="J176" s="395">
        <f t="shared" si="31"/>
        <v>0</v>
      </c>
      <c r="K176" s="395">
        <f t="shared" si="32"/>
        <v>0</v>
      </c>
      <c r="L176" s="395">
        <f t="shared" si="33"/>
        <v>8366.3446445856844</v>
      </c>
      <c r="M176" s="395">
        <f t="shared" si="34"/>
        <v>8366.3446445856844</v>
      </c>
      <c r="N176" s="415"/>
      <c r="O176" s="393">
        <v>49.320153268448301</v>
      </c>
      <c r="P176" s="393">
        <v>50</v>
      </c>
      <c r="Q176" s="393">
        <f t="shared" si="39"/>
        <v>8.94</v>
      </c>
      <c r="R176" s="393">
        <f t="shared" si="40"/>
        <v>108.26015326844831</v>
      </c>
      <c r="S176" s="370"/>
    </row>
    <row r="177" spans="1:19" ht="73.5" outlineLevel="1">
      <c r="A177" s="392" t="s">
        <v>1441</v>
      </c>
      <c r="B177" s="392" t="s">
        <v>1463</v>
      </c>
      <c r="C177" s="392" t="s">
        <v>1059</v>
      </c>
      <c r="D177" s="247" t="s">
        <v>1444</v>
      </c>
      <c r="E177" s="248" t="s">
        <v>1464</v>
      </c>
      <c r="F177" s="248" t="s">
        <v>1446</v>
      </c>
      <c r="G177" s="370" t="s">
        <v>1063</v>
      </c>
      <c r="H177" s="395"/>
      <c r="I177" s="395">
        <f>56.16+19.65</f>
        <v>75.81</v>
      </c>
      <c r="J177" s="395">
        <f t="shared" si="31"/>
        <v>0</v>
      </c>
      <c r="K177" s="395">
        <f t="shared" si="32"/>
        <v>0</v>
      </c>
      <c r="L177" s="395">
        <f t="shared" si="33"/>
        <v>8832.2132676370547</v>
      </c>
      <c r="M177" s="395">
        <f t="shared" si="34"/>
        <v>8832.2132676370547</v>
      </c>
      <c r="N177" s="415"/>
      <c r="O177" s="393">
        <v>56.8845939537931</v>
      </c>
      <c r="P177" s="393">
        <v>50</v>
      </c>
      <c r="Q177" s="393">
        <f t="shared" si="39"/>
        <v>9.6199999999999992</v>
      </c>
      <c r="R177" s="393">
        <f t="shared" si="40"/>
        <v>116.5045939537931</v>
      </c>
      <c r="S177" s="370"/>
    </row>
    <row r="178" spans="1:19" ht="73.5" outlineLevel="1">
      <c r="A178" s="392" t="s">
        <v>1441</v>
      </c>
      <c r="B178" s="392" t="s">
        <v>1465</v>
      </c>
      <c r="C178" s="392" t="s">
        <v>1059</v>
      </c>
      <c r="D178" s="247" t="s">
        <v>1444</v>
      </c>
      <c r="E178" s="248" t="s">
        <v>1466</v>
      </c>
      <c r="F178" s="248" t="s">
        <v>1446</v>
      </c>
      <c r="G178" s="370" t="s">
        <v>1063</v>
      </c>
      <c r="H178" s="395"/>
      <c r="I178" s="395">
        <f>24.67+132.77</f>
        <v>157.44</v>
      </c>
      <c r="J178" s="395">
        <f t="shared" si="31"/>
        <v>0</v>
      </c>
      <c r="K178" s="395">
        <f t="shared" si="32"/>
        <v>0</v>
      </c>
      <c r="L178" s="395">
        <f t="shared" si="33"/>
        <v>19640.488013585873</v>
      </c>
      <c r="M178" s="395">
        <f t="shared" si="34"/>
        <v>19640.488013585873</v>
      </c>
      <c r="N178" s="415"/>
      <c r="O178" s="393">
        <v>64.449034639137906</v>
      </c>
      <c r="P178" s="393">
        <v>50</v>
      </c>
      <c r="Q178" s="393">
        <f t="shared" si="39"/>
        <v>10.3</v>
      </c>
      <c r="R178" s="393">
        <f t="shared" si="40"/>
        <v>124.7490346391379</v>
      </c>
      <c r="S178" s="370"/>
    </row>
    <row r="179" spans="1:19" ht="73.5" outlineLevel="1">
      <c r="A179" s="392" t="s">
        <v>1441</v>
      </c>
      <c r="B179" s="392" t="s">
        <v>1467</v>
      </c>
      <c r="C179" s="392" t="s">
        <v>1059</v>
      </c>
      <c r="D179" s="247" t="s">
        <v>1444</v>
      </c>
      <c r="E179" s="248" t="s">
        <v>1468</v>
      </c>
      <c r="F179" s="248" t="s">
        <v>1446</v>
      </c>
      <c r="G179" s="370" t="s">
        <v>1063</v>
      </c>
      <c r="H179" s="395"/>
      <c r="I179" s="395">
        <v>31.36</v>
      </c>
      <c r="J179" s="395">
        <f t="shared" si="31"/>
        <v>0</v>
      </c>
      <c r="K179" s="395">
        <f t="shared" si="32"/>
        <v>0</v>
      </c>
      <c r="L179" s="395">
        <f t="shared" si="33"/>
        <v>3709.6859193676419</v>
      </c>
      <c r="M179" s="395">
        <f t="shared" si="34"/>
        <v>3709.6859193676419</v>
      </c>
      <c r="N179" s="415"/>
      <c r="O179" s="393">
        <v>58.523556102284502</v>
      </c>
      <c r="P179" s="393">
        <v>50</v>
      </c>
      <c r="Q179" s="393">
        <f t="shared" si="39"/>
        <v>9.77</v>
      </c>
      <c r="R179" s="393">
        <f t="shared" si="40"/>
        <v>118.2935561022845</v>
      </c>
      <c r="S179" s="370"/>
    </row>
    <row r="180" spans="1:19" ht="73.5" outlineLevel="1">
      <c r="A180" s="392" t="s">
        <v>1441</v>
      </c>
      <c r="B180" s="392" t="s">
        <v>1469</v>
      </c>
      <c r="C180" s="392" t="s">
        <v>1059</v>
      </c>
      <c r="D180" s="247" t="s">
        <v>1444</v>
      </c>
      <c r="E180" s="248" t="s">
        <v>1470</v>
      </c>
      <c r="F180" s="248" t="s">
        <v>1446</v>
      </c>
      <c r="G180" s="370" t="s">
        <v>1063</v>
      </c>
      <c r="H180" s="395"/>
      <c r="I180" s="395">
        <f>70.27+25</f>
        <v>95.27</v>
      </c>
      <c r="J180" s="395">
        <f t="shared" si="31"/>
        <v>0</v>
      </c>
      <c r="K180" s="395">
        <f t="shared" si="32"/>
        <v>0</v>
      </c>
      <c r="L180" s="395">
        <f t="shared" si="33"/>
        <v>12055.274953957443</v>
      </c>
      <c r="M180" s="395">
        <f t="shared" si="34"/>
        <v>12055.274953957443</v>
      </c>
      <c r="N180" s="415"/>
      <c r="O180" s="393">
        <v>66.087996787629294</v>
      </c>
      <c r="P180" s="393">
        <v>50</v>
      </c>
      <c r="Q180" s="393">
        <f t="shared" si="39"/>
        <v>10.45</v>
      </c>
      <c r="R180" s="393">
        <f t="shared" si="40"/>
        <v>126.5379967876293</v>
      </c>
      <c r="S180" s="370"/>
    </row>
    <row r="181" spans="1:19" ht="73.5" outlineLevel="1">
      <c r="A181" s="392" t="s">
        <v>1441</v>
      </c>
      <c r="B181" s="392" t="s">
        <v>1471</v>
      </c>
      <c r="C181" s="392" t="s">
        <v>1059</v>
      </c>
      <c r="D181" s="247" t="s">
        <v>1444</v>
      </c>
      <c r="E181" s="248" t="s">
        <v>1472</v>
      </c>
      <c r="F181" s="248" t="s">
        <v>1446</v>
      </c>
      <c r="G181" s="370" t="s">
        <v>1063</v>
      </c>
      <c r="H181" s="395"/>
      <c r="I181" s="395">
        <f>20.22+25</f>
        <v>45.22</v>
      </c>
      <c r="J181" s="395">
        <f t="shared" si="31"/>
        <v>0</v>
      </c>
      <c r="K181" s="395">
        <f t="shared" si="32"/>
        <v>0</v>
      </c>
      <c r="L181" s="395">
        <f t="shared" si="33"/>
        <v>6094.8618225278933</v>
      </c>
      <c r="M181" s="395">
        <f t="shared" si="34"/>
        <v>6094.8618225278933</v>
      </c>
      <c r="N181" s="415"/>
      <c r="O181" s="393">
        <v>73.652437472974199</v>
      </c>
      <c r="P181" s="393">
        <v>50</v>
      </c>
      <c r="Q181" s="393">
        <f t="shared" si="39"/>
        <v>11.13</v>
      </c>
      <c r="R181" s="393">
        <f t="shared" si="40"/>
        <v>134.78243747297421</v>
      </c>
      <c r="S181" s="370"/>
    </row>
    <row r="182" spans="1:19" ht="73.5" outlineLevel="1">
      <c r="A182" s="392" t="s">
        <v>1441</v>
      </c>
      <c r="B182" s="392" t="s">
        <v>1473</v>
      </c>
      <c r="C182" s="392" t="s">
        <v>1059</v>
      </c>
      <c r="D182" s="247" t="s">
        <v>1444</v>
      </c>
      <c r="E182" s="248" t="s">
        <v>1474</v>
      </c>
      <c r="F182" s="248" t="s">
        <v>1446</v>
      </c>
      <c r="G182" s="370" t="s">
        <v>1063</v>
      </c>
      <c r="H182" s="395"/>
      <c r="I182" s="395"/>
      <c r="J182" s="395">
        <f t="shared" si="31"/>
        <v>0</v>
      </c>
      <c r="K182" s="395">
        <f t="shared" si="32"/>
        <v>0</v>
      </c>
      <c r="L182" s="395">
        <f t="shared" si="33"/>
        <v>0</v>
      </c>
      <c r="M182" s="395">
        <f t="shared" si="34"/>
        <v>0</v>
      </c>
      <c r="N182" s="415"/>
      <c r="O182" s="393">
        <v>67.726958936120695</v>
      </c>
      <c r="P182" s="393">
        <v>60</v>
      </c>
      <c r="Q182" s="393">
        <f t="shared" si="39"/>
        <v>11.5</v>
      </c>
      <c r="R182" s="393">
        <f t="shared" si="40"/>
        <v>139.2269589361207</v>
      </c>
      <c r="S182" s="370"/>
    </row>
    <row r="183" spans="1:19" ht="73.5" outlineLevel="1">
      <c r="A183" s="392" t="s">
        <v>1441</v>
      </c>
      <c r="B183" s="392" t="s">
        <v>1475</v>
      </c>
      <c r="C183" s="392" t="s">
        <v>1059</v>
      </c>
      <c r="D183" s="247" t="s">
        <v>1444</v>
      </c>
      <c r="E183" s="248" t="s">
        <v>1476</v>
      </c>
      <c r="F183" s="248" t="s">
        <v>1446</v>
      </c>
      <c r="G183" s="370" t="s">
        <v>1063</v>
      </c>
      <c r="H183" s="395"/>
      <c r="I183" s="395">
        <f>45.57+30.25</f>
        <v>75.819999999999993</v>
      </c>
      <c r="J183" s="395">
        <f t="shared" si="31"/>
        <v>0</v>
      </c>
      <c r="K183" s="395">
        <f t="shared" si="32"/>
        <v>0</v>
      </c>
      <c r="L183" s="395">
        <f t="shared" si="33"/>
        <v>11181.281519299513</v>
      </c>
      <c r="M183" s="395">
        <f t="shared" si="34"/>
        <v>11181.281519299513</v>
      </c>
      <c r="N183" s="415"/>
      <c r="O183" s="393">
        <v>75.291399621465501</v>
      </c>
      <c r="P183" s="393">
        <v>60</v>
      </c>
      <c r="Q183" s="393">
        <f t="shared" si="39"/>
        <v>12.18</v>
      </c>
      <c r="R183" s="393">
        <f t="shared" si="40"/>
        <v>147.47139962146551</v>
      </c>
      <c r="S183" s="370"/>
    </row>
    <row r="184" spans="1:19" ht="73.5" outlineLevel="1">
      <c r="A184" s="392" t="s">
        <v>1441</v>
      </c>
      <c r="B184" s="392" t="s">
        <v>1477</v>
      </c>
      <c r="C184" s="392" t="s">
        <v>1059</v>
      </c>
      <c r="D184" s="247" t="s">
        <v>1444</v>
      </c>
      <c r="E184" s="248" t="s">
        <v>1478</v>
      </c>
      <c r="F184" s="248" t="s">
        <v>1446</v>
      </c>
      <c r="G184" s="370" t="s">
        <v>1063</v>
      </c>
      <c r="H184" s="395">
        <v>465</v>
      </c>
      <c r="I184" s="395">
        <f>52.41+114.45</f>
        <v>166.86</v>
      </c>
      <c r="J184" s="395">
        <f t="shared" si="31"/>
        <v>74942.115742666851</v>
      </c>
      <c r="K184" s="395">
        <f t="shared" si="32"/>
        <v>74942.115742666851</v>
      </c>
      <c r="L184" s="395">
        <f t="shared" si="33"/>
        <v>26892.132113594391</v>
      </c>
      <c r="M184" s="395">
        <f t="shared" si="34"/>
        <v>26892.132113594391</v>
      </c>
      <c r="N184" s="415"/>
      <c r="O184" s="393">
        <v>82.855840306810407</v>
      </c>
      <c r="P184" s="393">
        <v>65</v>
      </c>
      <c r="Q184" s="393">
        <f t="shared" si="39"/>
        <v>13.31</v>
      </c>
      <c r="R184" s="393">
        <f t="shared" si="40"/>
        <v>161.16584030681042</v>
      </c>
      <c r="S184" s="370"/>
    </row>
    <row r="185" spans="1:19" ht="73.5" outlineLevel="1">
      <c r="A185" s="392" t="s">
        <v>1441</v>
      </c>
      <c r="B185" s="392" t="s">
        <v>1479</v>
      </c>
      <c r="C185" s="392" t="s">
        <v>1059</v>
      </c>
      <c r="D185" s="247" t="s">
        <v>1444</v>
      </c>
      <c r="E185" s="248" t="s">
        <v>1480</v>
      </c>
      <c r="F185" s="248" t="s">
        <v>1446</v>
      </c>
      <c r="G185" s="370" t="s">
        <v>1063</v>
      </c>
      <c r="H185" s="395"/>
      <c r="I185" s="395"/>
      <c r="J185" s="395">
        <f t="shared" si="31"/>
        <v>0</v>
      </c>
      <c r="K185" s="395">
        <f t="shared" si="32"/>
        <v>0</v>
      </c>
      <c r="L185" s="395">
        <f t="shared" si="33"/>
        <v>0</v>
      </c>
      <c r="M185" s="395">
        <f t="shared" si="34"/>
        <v>0</v>
      </c>
      <c r="N185" s="415"/>
      <c r="O185" s="393">
        <v>76.930361769956903</v>
      </c>
      <c r="P185" s="393">
        <v>78</v>
      </c>
      <c r="Q185" s="393">
        <f t="shared" si="39"/>
        <v>13.94</v>
      </c>
      <c r="R185" s="393">
        <f t="shared" si="40"/>
        <v>168.8703617699569</v>
      </c>
      <c r="S185" s="370"/>
    </row>
    <row r="186" spans="1:19" ht="73.5" outlineLevel="1">
      <c r="A186" s="392" t="s">
        <v>1441</v>
      </c>
      <c r="B186" s="392" t="s">
        <v>1481</v>
      </c>
      <c r="C186" s="392" t="s">
        <v>1059</v>
      </c>
      <c r="D186" s="247" t="s">
        <v>1444</v>
      </c>
      <c r="E186" s="248" t="s">
        <v>1482</v>
      </c>
      <c r="F186" s="248" t="s">
        <v>1446</v>
      </c>
      <c r="G186" s="370" t="s">
        <v>1063</v>
      </c>
      <c r="H186" s="395"/>
      <c r="I186" s="395">
        <f>87.85+3.8</f>
        <v>91.65</v>
      </c>
      <c r="J186" s="395">
        <f t="shared" si="31"/>
        <v>0</v>
      </c>
      <c r="K186" s="395">
        <f t="shared" si="32"/>
        <v>0</v>
      </c>
      <c r="L186" s="395">
        <f t="shared" si="33"/>
        <v>16232.5716450284</v>
      </c>
      <c r="M186" s="395">
        <f t="shared" si="34"/>
        <v>16232.5716450284</v>
      </c>
      <c r="N186" s="415"/>
      <c r="O186" s="393">
        <v>84.494802455301695</v>
      </c>
      <c r="P186" s="393">
        <v>78</v>
      </c>
      <c r="Q186" s="393">
        <f t="shared" si="39"/>
        <v>14.62</v>
      </c>
      <c r="R186" s="393">
        <f t="shared" si="40"/>
        <v>177.11480245530169</v>
      </c>
      <c r="S186" s="370"/>
    </row>
    <row r="187" spans="1:19" ht="73.5" outlineLevel="1">
      <c r="A187" s="392" t="s">
        <v>1441</v>
      </c>
      <c r="B187" s="392" t="s">
        <v>1483</v>
      </c>
      <c r="C187" s="392" t="s">
        <v>1059</v>
      </c>
      <c r="D187" s="247" t="s">
        <v>1444</v>
      </c>
      <c r="E187" s="248" t="s">
        <v>1484</v>
      </c>
      <c r="F187" s="248" t="s">
        <v>1446</v>
      </c>
      <c r="G187" s="370" t="s">
        <v>1063</v>
      </c>
      <c r="H187" s="395"/>
      <c r="I187" s="395">
        <f>37.61+47.09</f>
        <v>84.7</v>
      </c>
      <c r="J187" s="395">
        <f t="shared" si="31"/>
        <v>0</v>
      </c>
      <c r="K187" s="395">
        <f t="shared" si="32"/>
        <v>0</v>
      </c>
      <c r="L187" s="395">
        <f t="shared" si="33"/>
        <v>15700.77489401276</v>
      </c>
      <c r="M187" s="395">
        <f t="shared" si="34"/>
        <v>15700.77489401276</v>
      </c>
      <c r="N187" s="415"/>
      <c r="O187" s="393">
        <v>92.059243140646501</v>
      </c>
      <c r="P187" s="393">
        <v>78</v>
      </c>
      <c r="Q187" s="393">
        <f t="shared" si="39"/>
        <v>15.31</v>
      </c>
      <c r="R187" s="393">
        <f t="shared" si="40"/>
        <v>185.36924314064652</v>
      </c>
      <c r="S187" s="370"/>
    </row>
    <row r="188" spans="1:19" ht="73.5" outlineLevel="1">
      <c r="A188" s="392" t="s">
        <v>1441</v>
      </c>
      <c r="B188" s="392" t="s">
        <v>1485</v>
      </c>
      <c r="C188" s="392" t="s">
        <v>1059</v>
      </c>
      <c r="D188" s="247" t="s">
        <v>1444</v>
      </c>
      <c r="E188" s="248" t="s">
        <v>1486</v>
      </c>
      <c r="F188" s="248" t="s">
        <v>1446</v>
      </c>
      <c r="G188" s="370" t="s">
        <v>1063</v>
      </c>
      <c r="H188" s="395"/>
      <c r="I188" s="395">
        <v>65.86</v>
      </c>
      <c r="J188" s="395">
        <f t="shared" si="31"/>
        <v>0</v>
      </c>
      <c r="K188" s="395">
        <f t="shared" si="32"/>
        <v>0</v>
      </c>
      <c r="L188" s="395">
        <f t="shared" si="33"/>
        <v>15070.515790068321</v>
      </c>
      <c r="M188" s="395">
        <f t="shared" si="34"/>
        <v>15070.515790068321</v>
      </c>
      <c r="N188" s="415"/>
      <c r="O188" s="393">
        <v>109.93653796034501</v>
      </c>
      <c r="P188" s="393">
        <v>100</v>
      </c>
      <c r="Q188" s="393">
        <f t="shared" si="39"/>
        <v>18.89</v>
      </c>
      <c r="R188" s="393">
        <f t="shared" si="40"/>
        <v>228.82653796034498</v>
      </c>
      <c r="S188" s="370"/>
    </row>
    <row r="189" spans="1:19" ht="73.5" outlineLevel="1">
      <c r="A189" s="392" t="s">
        <v>1441</v>
      </c>
      <c r="B189" s="392" t="s">
        <v>1487</v>
      </c>
      <c r="C189" s="392" t="s">
        <v>1059</v>
      </c>
      <c r="D189" s="247" t="s">
        <v>1444</v>
      </c>
      <c r="E189" s="248" t="s">
        <v>1488</v>
      </c>
      <c r="F189" s="248" t="s">
        <v>1446</v>
      </c>
      <c r="G189" s="370" t="s">
        <v>1063</v>
      </c>
      <c r="H189" s="395"/>
      <c r="I189" s="395"/>
      <c r="J189" s="395">
        <f t="shared" si="31"/>
        <v>0</v>
      </c>
      <c r="K189" s="395">
        <f t="shared" si="32"/>
        <v>0</v>
      </c>
      <c r="L189" s="395">
        <f t="shared" si="33"/>
        <v>0</v>
      </c>
      <c r="M189" s="395">
        <f t="shared" si="34"/>
        <v>0</v>
      </c>
      <c r="N189" s="415"/>
      <c r="O189" s="393">
        <v>119.39208881702601</v>
      </c>
      <c r="P189" s="393">
        <v>100</v>
      </c>
      <c r="Q189" s="393">
        <f t="shared" si="39"/>
        <v>19.75</v>
      </c>
      <c r="R189" s="393">
        <f t="shared" si="40"/>
        <v>239.14208881702601</v>
      </c>
      <c r="S189" s="370"/>
    </row>
    <row r="190" spans="1:19" ht="73.5" outlineLevel="1">
      <c r="A190" s="392" t="s">
        <v>1441</v>
      </c>
      <c r="B190" s="392" t="s">
        <v>1489</v>
      </c>
      <c r="C190" s="392" t="s">
        <v>1059</v>
      </c>
      <c r="D190" s="248" t="s">
        <v>1490</v>
      </c>
      <c r="E190" s="248" t="s">
        <v>1460</v>
      </c>
      <c r="F190" s="248" t="s">
        <v>1446</v>
      </c>
      <c r="G190" s="370" t="s">
        <v>1063</v>
      </c>
      <c r="H190" s="395"/>
      <c r="I190" s="395"/>
      <c r="J190" s="395">
        <f t="shared" si="31"/>
        <v>0</v>
      </c>
      <c r="K190" s="395">
        <f t="shared" si="32"/>
        <v>0</v>
      </c>
      <c r="L190" s="395">
        <f t="shared" si="33"/>
        <v>0</v>
      </c>
      <c r="M190" s="395">
        <f t="shared" si="34"/>
        <v>0</v>
      </c>
      <c r="N190" s="415"/>
      <c r="O190" s="393">
        <v>42.501238902195198</v>
      </c>
      <c r="P190" s="393">
        <v>45</v>
      </c>
      <c r="Q190" s="393">
        <f t="shared" si="39"/>
        <v>7.88</v>
      </c>
      <c r="R190" s="393">
        <f t="shared" si="40"/>
        <v>95.381238902195193</v>
      </c>
      <c r="S190" s="370"/>
    </row>
    <row r="191" spans="1:19" ht="73.5" outlineLevel="1">
      <c r="A191" s="392" t="s">
        <v>1441</v>
      </c>
      <c r="B191" s="392" t="s">
        <v>1491</v>
      </c>
      <c r="C191" s="392" t="s">
        <v>1059</v>
      </c>
      <c r="D191" s="248" t="s">
        <v>1490</v>
      </c>
      <c r="E191" s="248" t="s">
        <v>1464</v>
      </c>
      <c r="F191" s="248" t="s">
        <v>1446</v>
      </c>
      <c r="G191" s="370" t="s">
        <v>1063</v>
      </c>
      <c r="H191" s="395"/>
      <c r="I191" s="395"/>
      <c r="J191" s="395">
        <f t="shared" si="31"/>
        <v>0</v>
      </c>
      <c r="K191" s="395">
        <f t="shared" si="32"/>
        <v>0</v>
      </c>
      <c r="L191" s="395">
        <f t="shared" si="33"/>
        <v>0</v>
      </c>
      <c r="M191" s="395">
        <f t="shared" si="34"/>
        <v>0</v>
      </c>
      <c r="N191" s="415"/>
      <c r="O191" s="393">
        <v>58.643911292570202</v>
      </c>
      <c r="P191" s="393">
        <v>50</v>
      </c>
      <c r="Q191" s="393">
        <f t="shared" si="39"/>
        <v>9.7799999999999994</v>
      </c>
      <c r="R191" s="393">
        <f t="shared" si="40"/>
        <v>118.42391129257021</v>
      </c>
      <c r="S191" s="370"/>
    </row>
    <row r="192" spans="1:19" ht="73.5" outlineLevel="1">
      <c r="A192" s="392" t="s">
        <v>1441</v>
      </c>
      <c r="B192" s="392" t="s">
        <v>1492</v>
      </c>
      <c r="C192" s="392" t="s">
        <v>1059</v>
      </c>
      <c r="D192" s="248" t="s">
        <v>1490</v>
      </c>
      <c r="E192" s="248" t="s">
        <v>1466</v>
      </c>
      <c r="F192" s="248" t="s">
        <v>1446</v>
      </c>
      <c r="G192" s="370" t="s">
        <v>1063</v>
      </c>
      <c r="H192" s="395"/>
      <c r="I192" s="395"/>
      <c r="J192" s="395">
        <f t="shared" si="31"/>
        <v>0</v>
      </c>
      <c r="K192" s="395">
        <f t="shared" si="32"/>
        <v>0</v>
      </c>
      <c r="L192" s="395">
        <f t="shared" si="33"/>
        <v>0</v>
      </c>
      <c r="M192" s="395">
        <f t="shared" si="34"/>
        <v>0</v>
      </c>
      <c r="N192" s="415"/>
      <c r="O192" s="393">
        <v>66.442303751688598</v>
      </c>
      <c r="P192" s="393">
        <v>50</v>
      </c>
      <c r="Q192" s="393">
        <f t="shared" si="39"/>
        <v>10.48</v>
      </c>
      <c r="R192" s="393">
        <f t="shared" si="40"/>
        <v>126.9223037516886</v>
      </c>
      <c r="S192" s="370"/>
    </row>
    <row r="193" spans="1:19" ht="73.5" outlineLevel="1">
      <c r="A193" s="392" t="s">
        <v>1441</v>
      </c>
      <c r="B193" s="392" t="s">
        <v>1493</v>
      </c>
      <c r="C193" s="392" t="s">
        <v>1059</v>
      </c>
      <c r="D193" s="248" t="s">
        <v>1490</v>
      </c>
      <c r="E193" s="248" t="s">
        <v>1470</v>
      </c>
      <c r="F193" s="248" t="s">
        <v>1446</v>
      </c>
      <c r="G193" s="370" t="s">
        <v>1063</v>
      </c>
      <c r="H193" s="395"/>
      <c r="I193" s="395"/>
      <c r="J193" s="395">
        <f t="shared" si="31"/>
        <v>0</v>
      </c>
      <c r="K193" s="395">
        <f t="shared" si="32"/>
        <v>0</v>
      </c>
      <c r="L193" s="395">
        <f t="shared" si="33"/>
        <v>0</v>
      </c>
      <c r="M193" s="395">
        <f t="shared" si="34"/>
        <v>0</v>
      </c>
      <c r="N193" s="415"/>
      <c r="O193" s="393">
        <v>68.131955451164202</v>
      </c>
      <c r="P193" s="393">
        <v>50</v>
      </c>
      <c r="Q193" s="393">
        <f t="shared" si="39"/>
        <v>10.63</v>
      </c>
      <c r="R193" s="393">
        <f t="shared" si="40"/>
        <v>128.7619554511642</v>
      </c>
      <c r="S193" s="370"/>
    </row>
    <row r="194" spans="1:19" ht="73.5" outlineLevel="1">
      <c r="A194" s="392" t="s">
        <v>1441</v>
      </c>
      <c r="B194" s="392" t="s">
        <v>1494</v>
      </c>
      <c r="C194" s="392" t="s">
        <v>1059</v>
      </c>
      <c r="D194" s="248" t="s">
        <v>1490</v>
      </c>
      <c r="E194" s="248" t="s">
        <v>1472</v>
      </c>
      <c r="F194" s="248" t="s">
        <v>1446</v>
      </c>
      <c r="G194" s="370" t="s">
        <v>1063</v>
      </c>
      <c r="H194" s="395"/>
      <c r="I194" s="395"/>
      <c r="J194" s="395">
        <f t="shared" si="31"/>
        <v>0</v>
      </c>
      <c r="K194" s="395">
        <f t="shared" si="32"/>
        <v>0</v>
      </c>
      <c r="L194" s="395">
        <f t="shared" si="33"/>
        <v>0</v>
      </c>
      <c r="M194" s="395">
        <f t="shared" si="34"/>
        <v>0</v>
      </c>
      <c r="N194" s="415"/>
      <c r="O194" s="393">
        <v>75.930347910282606</v>
      </c>
      <c r="P194" s="393">
        <v>50</v>
      </c>
      <c r="Q194" s="393">
        <f t="shared" si="39"/>
        <v>11.33</v>
      </c>
      <c r="R194" s="393">
        <f t="shared" si="40"/>
        <v>137.2603479102826</v>
      </c>
      <c r="S194" s="370"/>
    </row>
    <row r="195" spans="1:19">
      <c r="A195" s="392" t="s">
        <v>1177</v>
      </c>
      <c r="B195" s="392" t="s">
        <v>1495</v>
      </c>
      <c r="C195" s="392" t="s">
        <v>1056</v>
      </c>
      <c r="D195" s="394" t="s">
        <v>1496</v>
      </c>
      <c r="E195" s="248"/>
      <c r="F195" s="248"/>
      <c r="G195" s="370"/>
      <c r="H195" s="395"/>
      <c r="I195" s="395"/>
      <c r="J195" s="395"/>
      <c r="K195" s="395"/>
      <c r="L195" s="395"/>
      <c r="M195" s="395"/>
      <c r="N195" s="416"/>
      <c r="O195" s="393"/>
      <c r="P195" s="393"/>
      <c r="Q195" s="393"/>
      <c r="R195" s="395"/>
      <c r="S195" s="370"/>
    </row>
    <row r="196" spans="1:19" ht="84" outlineLevel="1">
      <c r="A196" s="392" t="s">
        <v>1495</v>
      </c>
      <c r="B196" s="392" t="s">
        <v>1497</v>
      </c>
      <c r="C196" s="392" t="s">
        <v>1059</v>
      </c>
      <c r="D196" s="248" t="s">
        <v>1498</v>
      </c>
      <c r="E196" s="248"/>
      <c r="F196" s="248" t="s">
        <v>1499</v>
      </c>
      <c r="G196" s="370" t="s">
        <v>1099</v>
      </c>
      <c r="H196" s="395">
        <v>17</v>
      </c>
      <c r="I196" s="395">
        <v>5</v>
      </c>
      <c r="J196" s="395">
        <f t="shared" si="31"/>
        <v>6114.9</v>
      </c>
      <c r="K196" s="395">
        <f t="shared" si="32"/>
        <v>6114.9</v>
      </c>
      <c r="L196" s="395">
        <f t="shared" si="33"/>
        <v>1798.5</v>
      </c>
      <c r="M196" s="395">
        <f t="shared" si="34"/>
        <v>1798.5</v>
      </c>
      <c r="N196" s="415"/>
      <c r="O196" s="399"/>
      <c r="P196" s="393">
        <v>330</v>
      </c>
      <c r="Q196" s="393">
        <f t="shared" ref="Q196:Q223" si="41">ROUND((O196+P196)*0.09,2)</f>
        <v>29.7</v>
      </c>
      <c r="R196" s="393">
        <f t="shared" ref="R196:R223" si="42">P196+O196+Q196</f>
        <v>359.7</v>
      </c>
      <c r="S196" s="370" t="s">
        <v>1500</v>
      </c>
    </row>
    <row r="197" spans="1:19" ht="84" outlineLevel="1">
      <c r="A197" s="392" t="s">
        <v>1495</v>
      </c>
      <c r="B197" s="392" t="s">
        <v>1501</v>
      </c>
      <c r="C197" s="392" t="s">
        <v>1059</v>
      </c>
      <c r="D197" s="248" t="s">
        <v>1502</v>
      </c>
      <c r="E197" s="248"/>
      <c r="F197" s="248" t="s">
        <v>1503</v>
      </c>
      <c r="G197" s="370" t="s">
        <v>1099</v>
      </c>
      <c r="H197" s="395">
        <v>1016</v>
      </c>
      <c r="I197" s="395">
        <v>10</v>
      </c>
      <c r="J197" s="395">
        <f t="shared" si="31"/>
        <v>199339.19999999998</v>
      </c>
      <c r="K197" s="395">
        <f t="shared" si="32"/>
        <v>199339.19999999998</v>
      </c>
      <c r="L197" s="395">
        <f t="shared" si="33"/>
        <v>1962</v>
      </c>
      <c r="M197" s="395">
        <f t="shared" si="34"/>
        <v>1962</v>
      </c>
      <c r="N197" s="415"/>
      <c r="O197" s="399"/>
      <c r="P197" s="393">
        <v>180</v>
      </c>
      <c r="Q197" s="393">
        <f t="shared" si="41"/>
        <v>16.2</v>
      </c>
      <c r="R197" s="393">
        <f t="shared" si="42"/>
        <v>196.2</v>
      </c>
      <c r="S197" s="370" t="s">
        <v>1500</v>
      </c>
    </row>
    <row r="198" spans="1:19" ht="84" outlineLevel="1">
      <c r="A198" s="392" t="s">
        <v>1495</v>
      </c>
      <c r="B198" s="392" t="s">
        <v>1504</v>
      </c>
      <c r="C198" s="392" t="s">
        <v>1059</v>
      </c>
      <c r="D198" s="248" t="s">
        <v>1505</v>
      </c>
      <c r="E198" s="248"/>
      <c r="F198" s="248" t="s">
        <v>1503</v>
      </c>
      <c r="G198" s="370" t="s">
        <v>1099</v>
      </c>
      <c r="H198" s="395">
        <v>60</v>
      </c>
      <c r="I198" s="395">
        <v>30</v>
      </c>
      <c r="J198" s="395">
        <f t="shared" ref="J198:J261" si="43">H198*R198</f>
        <v>15042</v>
      </c>
      <c r="K198" s="395">
        <f t="shared" ref="K198:K261" si="44">H198*R198*(1+N198)</f>
        <v>15042</v>
      </c>
      <c r="L198" s="395">
        <f t="shared" ref="L198:L261" si="45">I198*R198</f>
        <v>7521</v>
      </c>
      <c r="M198" s="395">
        <f t="shared" ref="M198:M261" si="46">I198*R198*(1+N198)</f>
        <v>7521</v>
      </c>
      <c r="N198" s="415"/>
      <c r="O198" s="399"/>
      <c r="P198" s="393">
        <v>230</v>
      </c>
      <c r="Q198" s="393">
        <f t="shared" si="41"/>
        <v>20.7</v>
      </c>
      <c r="R198" s="393">
        <f t="shared" si="42"/>
        <v>250.7</v>
      </c>
      <c r="S198" s="370" t="s">
        <v>1500</v>
      </c>
    </row>
    <row r="199" spans="1:19" ht="84" outlineLevel="1">
      <c r="A199" s="392" t="s">
        <v>1495</v>
      </c>
      <c r="B199" s="392" t="s">
        <v>1506</v>
      </c>
      <c r="C199" s="392" t="s">
        <v>1059</v>
      </c>
      <c r="D199" s="248" t="s">
        <v>1507</v>
      </c>
      <c r="E199" s="248"/>
      <c r="F199" s="248" t="s">
        <v>1503</v>
      </c>
      <c r="G199" s="370" t="s">
        <v>1099</v>
      </c>
      <c r="H199" s="395"/>
      <c r="I199" s="395"/>
      <c r="J199" s="395">
        <f t="shared" si="43"/>
        <v>0</v>
      </c>
      <c r="K199" s="395">
        <f t="shared" si="44"/>
        <v>0</v>
      </c>
      <c r="L199" s="395">
        <f t="shared" si="45"/>
        <v>0</v>
      </c>
      <c r="M199" s="395">
        <f t="shared" si="46"/>
        <v>0</v>
      </c>
      <c r="N199" s="415"/>
      <c r="O199" s="399"/>
      <c r="P199" s="393">
        <v>260</v>
      </c>
      <c r="Q199" s="393">
        <f t="shared" si="41"/>
        <v>23.4</v>
      </c>
      <c r="R199" s="393">
        <f t="shared" si="42"/>
        <v>283.39999999999998</v>
      </c>
      <c r="S199" s="370" t="s">
        <v>1500</v>
      </c>
    </row>
    <row r="200" spans="1:19" ht="21" outlineLevel="1">
      <c r="A200" s="392" t="s">
        <v>1495</v>
      </c>
      <c r="B200" s="392" t="s">
        <v>1508</v>
      </c>
      <c r="C200" s="392" t="s">
        <v>1059</v>
      </c>
      <c r="D200" s="248" t="s">
        <v>1509</v>
      </c>
      <c r="E200" s="248"/>
      <c r="F200" s="248" t="s">
        <v>1510</v>
      </c>
      <c r="G200" s="370" t="s">
        <v>1099</v>
      </c>
      <c r="H200" s="395">
        <v>4</v>
      </c>
      <c r="I200" s="395">
        <v>1</v>
      </c>
      <c r="J200" s="395">
        <f t="shared" si="43"/>
        <v>520.93103448275883</v>
      </c>
      <c r="K200" s="395">
        <f t="shared" si="44"/>
        <v>520.93103448275883</v>
      </c>
      <c r="L200" s="395">
        <f t="shared" si="45"/>
        <v>130.23275862068971</v>
      </c>
      <c r="M200" s="395">
        <f t="shared" si="46"/>
        <v>130.23275862068971</v>
      </c>
      <c r="N200" s="415"/>
      <c r="O200" s="393">
        <v>34.482758620689701</v>
      </c>
      <c r="P200" s="393">
        <v>85</v>
      </c>
      <c r="Q200" s="393">
        <f t="shared" si="41"/>
        <v>10.75</v>
      </c>
      <c r="R200" s="393">
        <f t="shared" si="42"/>
        <v>130.23275862068971</v>
      </c>
      <c r="S200" s="370"/>
    </row>
    <row r="201" spans="1:19" ht="21" outlineLevel="1">
      <c r="A201" s="392" t="s">
        <v>1495</v>
      </c>
      <c r="B201" s="392" t="s">
        <v>1511</v>
      </c>
      <c r="C201" s="392" t="s">
        <v>1059</v>
      </c>
      <c r="D201" s="248" t="s">
        <v>1512</v>
      </c>
      <c r="E201" s="248"/>
      <c r="F201" s="248" t="s">
        <v>1510</v>
      </c>
      <c r="G201" s="370" t="s">
        <v>1099</v>
      </c>
      <c r="H201" s="395">
        <v>2035</v>
      </c>
      <c r="I201" s="395">
        <v>9</v>
      </c>
      <c r="J201" s="395">
        <f t="shared" si="43"/>
        <v>80686.346551724171</v>
      </c>
      <c r="K201" s="395">
        <f t="shared" si="44"/>
        <v>80686.346551724171</v>
      </c>
      <c r="L201" s="395">
        <f t="shared" si="45"/>
        <v>356.84379310344843</v>
      </c>
      <c r="M201" s="395">
        <f t="shared" si="46"/>
        <v>356.84379310344843</v>
      </c>
      <c r="N201" s="415"/>
      <c r="O201" s="393">
        <v>21.379310344827601</v>
      </c>
      <c r="P201" s="393">
        <v>15</v>
      </c>
      <c r="Q201" s="393">
        <f t="shared" si="41"/>
        <v>3.27</v>
      </c>
      <c r="R201" s="393">
        <f t="shared" si="42"/>
        <v>39.649310344827605</v>
      </c>
      <c r="S201" s="370"/>
    </row>
    <row r="202" spans="1:19" ht="42" outlineLevel="1">
      <c r="A202" s="392" t="s">
        <v>1495</v>
      </c>
      <c r="B202" s="392" t="s">
        <v>1513</v>
      </c>
      <c r="C202" s="392" t="s">
        <v>1059</v>
      </c>
      <c r="D202" s="388" t="s">
        <v>1514</v>
      </c>
      <c r="E202" s="388" t="s">
        <v>1515</v>
      </c>
      <c r="F202" s="388" t="s">
        <v>1516</v>
      </c>
      <c r="G202" s="292" t="s">
        <v>1063</v>
      </c>
      <c r="H202" s="395">
        <f>205</f>
        <v>205</v>
      </c>
      <c r="I202" s="395">
        <v>196.45</v>
      </c>
      <c r="J202" s="395">
        <f t="shared" si="43"/>
        <v>871.25</v>
      </c>
      <c r="K202" s="395">
        <f t="shared" si="44"/>
        <v>871.25</v>
      </c>
      <c r="L202" s="395">
        <f t="shared" si="45"/>
        <v>834.91249999999991</v>
      </c>
      <c r="M202" s="395">
        <f t="shared" si="46"/>
        <v>834.91249999999991</v>
      </c>
      <c r="N202" s="415"/>
      <c r="O202" s="399"/>
      <c r="P202" s="393">
        <v>3.9</v>
      </c>
      <c r="Q202" s="393">
        <f t="shared" si="41"/>
        <v>0.35</v>
      </c>
      <c r="R202" s="393">
        <f t="shared" si="42"/>
        <v>4.25</v>
      </c>
      <c r="S202" s="370" t="s">
        <v>1517</v>
      </c>
    </row>
    <row r="203" spans="1:19" ht="42" outlineLevel="1">
      <c r="A203" s="392" t="s">
        <v>1495</v>
      </c>
      <c r="B203" s="392" t="s">
        <v>1518</v>
      </c>
      <c r="C203" s="392" t="s">
        <v>1059</v>
      </c>
      <c r="D203" s="388" t="s">
        <v>1514</v>
      </c>
      <c r="E203" s="388" t="s">
        <v>1519</v>
      </c>
      <c r="F203" s="388" t="s">
        <v>1516</v>
      </c>
      <c r="G203" s="292" t="s">
        <v>1063</v>
      </c>
      <c r="H203" s="395"/>
      <c r="I203" s="395"/>
      <c r="J203" s="395">
        <f t="shared" si="43"/>
        <v>0</v>
      </c>
      <c r="K203" s="395">
        <f t="shared" si="44"/>
        <v>0</v>
      </c>
      <c r="L203" s="395">
        <f t="shared" si="45"/>
        <v>0</v>
      </c>
      <c r="M203" s="395">
        <f t="shared" si="46"/>
        <v>0</v>
      </c>
      <c r="N203" s="415"/>
      <c r="O203" s="399"/>
      <c r="P203" s="393">
        <v>10.11</v>
      </c>
      <c r="Q203" s="393">
        <f t="shared" si="41"/>
        <v>0.91</v>
      </c>
      <c r="R203" s="393">
        <f t="shared" si="42"/>
        <v>11.02</v>
      </c>
      <c r="S203" s="370" t="s">
        <v>1517</v>
      </c>
    </row>
    <row r="204" spans="1:19" ht="42" outlineLevel="1">
      <c r="A204" s="392" t="s">
        <v>1495</v>
      </c>
      <c r="B204" s="392" t="s">
        <v>1520</v>
      </c>
      <c r="C204" s="392" t="s">
        <v>1059</v>
      </c>
      <c r="D204" s="388" t="s">
        <v>1514</v>
      </c>
      <c r="E204" s="388" t="s">
        <v>1521</v>
      </c>
      <c r="F204" s="388" t="s">
        <v>1516</v>
      </c>
      <c r="G204" s="292" t="s">
        <v>1063</v>
      </c>
      <c r="H204" s="395"/>
      <c r="I204" s="395"/>
      <c r="J204" s="395">
        <f t="shared" si="43"/>
        <v>0</v>
      </c>
      <c r="K204" s="395">
        <f t="shared" si="44"/>
        <v>0</v>
      </c>
      <c r="L204" s="395">
        <f t="shared" si="45"/>
        <v>0</v>
      </c>
      <c r="M204" s="395">
        <f t="shared" si="46"/>
        <v>0</v>
      </c>
      <c r="N204" s="415"/>
      <c r="O204" s="399"/>
      <c r="P204" s="393">
        <v>17.77</v>
      </c>
      <c r="Q204" s="393">
        <f t="shared" si="41"/>
        <v>1.6</v>
      </c>
      <c r="R204" s="393">
        <f t="shared" si="42"/>
        <v>19.37</v>
      </c>
      <c r="S204" s="370" t="s">
        <v>1517</v>
      </c>
    </row>
    <row r="205" spans="1:19" ht="42" outlineLevel="1">
      <c r="A205" s="392" t="s">
        <v>1495</v>
      </c>
      <c r="B205" s="392" t="s">
        <v>1522</v>
      </c>
      <c r="C205" s="392" t="s">
        <v>1059</v>
      </c>
      <c r="D205" s="388" t="s">
        <v>1514</v>
      </c>
      <c r="E205" s="388" t="s">
        <v>1523</v>
      </c>
      <c r="F205" s="388" t="s">
        <v>1516</v>
      </c>
      <c r="G205" s="292" t="s">
        <v>1063</v>
      </c>
      <c r="H205" s="395"/>
      <c r="I205" s="395"/>
      <c r="J205" s="395">
        <f t="shared" si="43"/>
        <v>0</v>
      </c>
      <c r="K205" s="395">
        <f t="shared" si="44"/>
        <v>0</v>
      </c>
      <c r="L205" s="395">
        <f t="shared" si="45"/>
        <v>0</v>
      </c>
      <c r="M205" s="395">
        <f t="shared" si="46"/>
        <v>0</v>
      </c>
      <c r="N205" s="415"/>
      <c r="O205" s="399"/>
      <c r="P205" s="393">
        <v>23.03</v>
      </c>
      <c r="Q205" s="393">
        <f t="shared" si="41"/>
        <v>2.0699999999999998</v>
      </c>
      <c r="R205" s="393">
        <f t="shared" si="42"/>
        <v>25.1</v>
      </c>
      <c r="S205" s="370" t="s">
        <v>1517</v>
      </c>
    </row>
    <row r="206" spans="1:19" ht="42" outlineLevel="1">
      <c r="A206" s="392" t="s">
        <v>1495</v>
      </c>
      <c r="B206" s="392" t="s">
        <v>1524</v>
      </c>
      <c r="C206" s="392" t="s">
        <v>1059</v>
      </c>
      <c r="D206" s="388" t="s">
        <v>1514</v>
      </c>
      <c r="E206" s="388" t="s">
        <v>1525</v>
      </c>
      <c r="F206" s="388" t="s">
        <v>1516</v>
      </c>
      <c r="G206" s="292" t="s">
        <v>1063</v>
      </c>
      <c r="H206" s="395"/>
      <c r="I206" s="395"/>
      <c r="J206" s="395">
        <f t="shared" si="43"/>
        <v>0</v>
      </c>
      <c r="K206" s="395">
        <f t="shared" si="44"/>
        <v>0</v>
      </c>
      <c r="L206" s="395">
        <f t="shared" si="45"/>
        <v>0</v>
      </c>
      <c r="M206" s="395">
        <f t="shared" si="46"/>
        <v>0</v>
      </c>
      <c r="N206" s="415"/>
      <c r="O206" s="399"/>
      <c r="P206" s="393">
        <v>42</v>
      </c>
      <c r="Q206" s="393">
        <f t="shared" si="41"/>
        <v>3.78</v>
      </c>
      <c r="R206" s="393">
        <f t="shared" si="42"/>
        <v>45.78</v>
      </c>
      <c r="S206" s="370" t="s">
        <v>1517</v>
      </c>
    </row>
    <row r="207" spans="1:19" ht="42" outlineLevel="1">
      <c r="A207" s="392" t="s">
        <v>1495</v>
      </c>
      <c r="B207" s="392" t="s">
        <v>1526</v>
      </c>
      <c r="C207" s="392" t="s">
        <v>1059</v>
      </c>
      <c r="D207" s="388" t="s">
        <v>1527</v>
      </c>
      <c r="E207" s="388" t="s">
        <v>1515</v>
      </c>
      <c r="F207" s="388" t="s">
        <v>1516</v>
      </c>
      <c r="G207" s="292" t="s">
        <v>1063</v>
      </c>
      <c r="H207" s="395">
        <f>3569.29+2075.82</f>
        <v>5645.11</v>
      </c>
      <c r="I207" s="395">
        <v>3853.3</v>
      </c>
      <c r="J207" s="395">
        <f t="shared" si="43"/>
        <v>26419.114799999996</v>
      </c>
      <c r="K207" s="395">
        <f t="shared" si="44"/>
        <v>26419.114799999996</v>
      </c>
      <c r="L207" s="395">
        <f t="shared" si="45"/>
        <v>18033.444</v>
      </c>
      <c r="M207" s="395">
        <f t="shared" si="46"/>
        <v>18033.444</v>
      </c>
      <c r="N207" s="415"/>
      <c r="O207" s="399"/>
      <c r="P207" s="393">
        <f t="shared" ref="P207:P211" si="47">P202*1.1</f>
        <v>4.29</v>
      </c>
      <c r="Q207" s="393">
        <f t="shared" si="41"/>
        <v>0.39</v>
      </c>
      <c r="R207" s="393">
        <f t="shared" si="42"/>
        <v>4.68</v>
      </c>
      <c r="S207" s="370" t="s">
        <v>1517</v>
      </c>
    </row>
    <row r="208" spans="1:19" ht="42" outlineLevel="1">
      <c r="A208" s="392" t="s">
        <v>1495</v>
      </c>
      <c r="B208" s="392" t="s">
        <v>1528</v>
      </c>
      <c r="C208" s="392" t="s">
        <v>1059</v>
      </c>
      <c r="D208" s="388" t="s">
        <v>1527</v>
      </c>
      <c r="E208" s="388" t="s">
        <v>1519</v>
      </c>
      <c r="F208" s="388" t="s">
        <v>1516</v>
      </c>
      <c r="G208" s="292" t="s">
        <v>1063</v>
      </c>
      <c r="H208" s="395">
        <f>3898.91+3004.5</f>
        <v>6903.41</v>
      </c>
      <c r="I208" s="395">
        <v>380.85</v>
      </c>
      <c r="J208" s="395">
        <f t="shared" si="43"/>
        <v>83676.232610000006</v>
      </c>
      <c r="K208" s="395">
        <f t="shared" si="44"/>
        <v>83676.232610000006</v>
      </c>
      <c r="L208" s="395">
        <f t="shared" si="45"/>
        <v>4616.2828500000005</v>
      </c>
      <c r="M208" s="395">
        <f t="shared" si="46"/>
        <v>4616.2828500000005</v>
      </c>
      <c r="N208" s="415"/>
      <c r="O208" s="399"/>
      <c r="P208" s="393">
        <f t="shared" si="47"/>
        <v>11.121</v>
      </c>
      <c r="Q208" s="393">
        <f t="shared" si="41"/>
        <v>1</v>
      </c>
      <c r="R208" s="393">
        <f t="shared" si="42"/>
        <v>12.121</v>
      </c>
      <c r="S208" s="370" t="s">
        <v>1517</v>
      </c>
    </row>
    <row r="209" spans="1:19" ht="42" outlineLevel="1">
      <c r="A209" s="392" t="s">
        <v>1495</v>
      </c>
      <c r="B209" s="392" t="s">
        <v>1529</v>
      </c>
      <c r="C209" s="392" t="s">
        <v>1059</v>
      </c>
      <c r="D209" s="388" t="s">
        <v>1527</v>
      </c>
      <c r="E209" s="388" t="s">
        <v>1521</v>
      </c>
      <c r="F209" s="388" t="s">
        <v>1516</v>
      </c>
      <c r="G209" s="292" t="s">
        <v>1063</v>
      </c>
      <c r="H209" s="395"/>
      <c r="I209" s="395">
        <f>1255.25+147</f>
        <v>1402.25</v>
      </c>
      <c r="J209" s="395">
        <f t="shared" si="43"/>
        <v>0</v>
      </c>
      <c r="K209" s="395">
        <f t="shared" si="44"/>
        <v>0</v>
      </c>
      <c r="L209" s="395">
        <f t="shared" si="45"/>
        <v>29877.740750000004</v>
      </c>
      <c r="M209" s="395">
        <f t="shared" si="46"/>
        <v>29877.740750000004</v>
      </c>
      <c r="N209" s="415"/>
      <c r="O209" s="399"/>
      <c r="P209" s="393">
        <f t="shared" si="47"/>
        <v>19.547000000000001</v>
      </c>
      <c r="Q209" s="393">
        <f t="shared" si="41"/>
        <v>1.76</v>
      </c>
      <c r="R209" s="393">
        <f t="shared" si="42"/>
        <v>21.307000000000002</v>
      </c>
      <c r="S209" s="370" t="s">
        <v>1517</v>
      </c>
    </row>
    <row r="210" spans="1:19" ht="42" outlineLevel="1">
      <c r="A210" s="392" t="s">
        <v>1495</v>
      </c>
      <c r="B210" s="392" t="s">
        <v>1530</v>
      </c>
      <c r="C210" s="392" t="s">
        <v>1059</v>
      </c>
      <c r="D210" s="388" t="s">
        <v>1527</v>
      </c>
      <c r="E210" s="388" t="s">
        <v>1523</v>
      </c>
      <c r="F210" s="388" t="s">
        <v>1516</v>
      </c>
      <c r="G210" s="292" t="s">
        <v>1063</v>
      </c>
      <c r="H210" s="395"/>
      <c r="I210" s="395">
        <v>325</v>
      </c>
      <c r="J210" s="395">
        <f t="shared" si="43"/>
        <v>0</v>
      </c>
      <c r="K210" s="395">
        <f t="shared" si="44"/>
        <v>0</v>
      </c>
      <c r="L210" s="395">
        <f t="shared" si="45"/>
        <v>8974.2250000000004</v>
      </c>
      <c r="M210" s="395">
        <f t="shared" si="46"/>
        <v>8974.2250000000004</v>
      </c>
      <c r="N210" s="415"/>
      <c r="O210" s="399"/>
      <c r="P210" s="393">
        <f t="shared" si="47"/>
        <v>25.333000000000002</v>
      </c>
      <c r="Q210" s="393">
        <f t="shared" si="41"/>
        <v>2.2799999999999998</v>
      </c>
      <c r="R210" s="393">
        <f t="shared" si="42"/>
        <v>27.613000000000003</v>
      </c>
      <c r="S210" s="370" t="s">
        <v>1517</v>
      </c>
    </row>
    <row r="211" spans="1:19" ht="42" outlineLevel="1">
      <c r="A211" s="392" t="s">
        <v>1495</v>
      </c>
      <c r="B211" s="392" t="s">
        <v>1531</v>
      </c>
      <c r="C211" s="392" t="s">
        <v>1059</v>
      </c>
      <c r="D211" s="388" t="s">
        <v>1527</v>
      </c>
      <c r="E211" s="388" t="s">
        <v>1525</v>
      </c>
      <c r="F211" s="388" t="s">
        <v>1516</v>
      </c>
      <c r="G211" s="292" t="s">
        <v>1063</v>
      </c>
      <c r="H211" s="395"/>
      <c r="I211" s="395"/>
      <c r="J211" s="395">
        <f t="shared" si="43"/>
        <v>0</v>
      </c>
      <c r="K211" s="395">
        <f t="shared" si="44"/>
        <v>0</v>
      </c>
      <c r="L211" s="395">
        <f t="shared" si="45"/>
        <v>0</v>
      </c>
      <c r="M211" s="395">
        <f t="shared" si="46"/>
        <v>0</v>
      </c>
      <c r="N211" s="415"/>
      <c r="O211" s="399"/>
      <c r="P211" s="393">
        <f t="shared" si="47"/>
        <v>46.2</v>
      </c>
      <c r="Q211" s="393">
        <f t="shared" si="41"/>
        <v>4.16</v>
      </c>
      <c r="R211" s="393">
        <f t="shared" si="42"/>
        <v>50.36</v>
      </c>
      <c r="S211" s="370" t="s">
        <v>1517</v>
      </c>
    </row>
    <row r="212" spans="1:19" ht="42" outlineLevel="1">
      <c r="A212" s="392" t="s">
        <v>1495</v>
      </c>
      <c r="B212" s="392" t="s">
        <v>1532</v>
      </c>
      <c r="C212" s="392" t="s">
        <v>1059</v>
      </c>
      <c r="D212" s="388" t="s">
        <v>1533</v>
      </c>
      <c r="E212" s="388" t="s">
        <v>1519</v>
      </c>
      <c r="F212" s="388" t="s">
        <v>1534</v>
      </c>
      <c r="G212" s="292" t="s">
        <v>524</v>
      </c>
      <c r="H212" s="395"/>
      <c r="I212" s="395"/>
      <c r="J212" s="395">
        <f t="shared" si="43"/>
        <v>0</v>
      </c>
      <c r="K212" s="395">
        <f t="shared" si="44"/>
        <v>0</v>
      </c>
      <c r="L212" s="395">
        <f t="shared" si="45"/>
        <v>0</v>
      </c>
      <c r="M212" s="395">
        <f t="shared" si="46"/>
        <v>0</v>
      </c>
      <c r="N212" s="415"/>
      <c r="O212" s="393">
        <f>9.4*4</f>
        <v>37.6</v>
      </c>
      <c r="P212" s="393">
        <v>57.7</v>
      </c>
      <c r="Q212" s="393">
        <f t="shared" si="41"/>
        <v>8.58</v>
      </c>
      <c r="R212" s="393">
        <f t="shared" si="42"/>
        <v>103.88000000000001</v>
      </c>
      <c r="S212" s="370"/>
    </row>
    <row r="213" spans="1:19" ht="42" outlineLevel="1">
      <c r="A213" s="392" t="s">
        <v>1495</v>
      </c>
      <c r="B213" s="392" t="s">
        <v>1535</v>
      </c>
      <c r="C213" s="392" t="s">
        <v>1059</v>
      </c>
      <c r="D213" s="388" t="s">
        <v>1536</v>
      </c>
      <c r="E213" s="388" t="s">
        <v>1521</v>
      </c>
      <c r="F213" s="388" t="s">
        <v>1534</v>
      </c>
      <c r="G213" s="292" t="s">
        <v>524</v>
      </c>
      <c r="H213" s="395"/>
      <c r="I213" s="395"/>
      <c r="J213" s="395">
        <f t="shared" si="43"/>
        <v>0</v>
      </c>
      <c r="K213" s="395">
        <f t="shared" si="44"/>
        <v>0</v>
      </c>
      <c r="L213" s="395">
        <f t="shared" si="45"/>
        <v>0</v>
      </c>
      <c r="M213" s="395">
        <f t="shared" si="46"/>
        <v>0</v>
      </c>
      <c r="N213" s="415"/>
      <c r="O213" s="393">
        <f>24.78*4</f>
        <v>99.12</v>
      </c>
      <c r="P213" s="393">
        <v>62.18</v>
      </c>
      <c r="Q213" s="393">
        <f t="shared" si="41"/>
        <v>14.52</v>
      </c>
      <c r="R213" s="393">
        <f t="shared" si="42"/>
        <v>175.82000000000002</v>
      </c>
      <c r="S213" s="370"/>
    </row>
    <row r="214" spans="1:19" ht="42" outlineLevel="1">
      <c r="A214" s="392" t="s">
        <v>1495</v>
      </c>
      <c r="B214" s="392" t="s">
        <v>1537</v>
      </c>
      <c r="C214" s="392" t="s">
        <v>1059</v>
      </c>
      <c r="D214" s="388" t="s">
        <v>1538</v>
      </c>
      <c r="E214" s="388" t="s">
        <v>1539</v>
      </c>
      <c r="F214" s="388" t="s">
        <v>1534</v>
      </c>
      <c r="G214" s="292" t="s">
        <v>524</v>
      </c>
      <c r="H214" s="395"/>
      <c r="I214" s="395"/>
      <c r="J214" s="395">
        <f t="shared" si="43"/>
        <v>0</v>
      </c>
      <c r="K214" s="395">
        <f t="shared" si="44"/>
        <v>0</v>
      </c>
      <c r="L214" s="395">
        <f t="shared" si="45"/>
        <v>0</v>
      </c>
      <c r="M214" s="395">
        <f t="shared" si="46"/>
        <v>0</v>
      </c>
      <c r="N214" s="415"/>
      <c r="O214" s="393">
        <f>38.38*4</f>
        <v>153.52000000000001</v>
      </c>
      <c r="P214" s="393">
        <v>80</v>
      </c>
      <c r="Q214" s="393">
        <f t="shared" si="41"/>
        <v>21.02</v>
      </c>
      <c r="R214" s="393">
        <f t="shared" si="42"/>
        <v>254.54000000000002</v>
      </c>
      <c r="S214" s="370"/>
    </row>
    <row r="215" spans="1:19" ht="42" outlineLevel="1">
      <c r="A215" s="392" t="s">
        <v>1495</v>
      </c>
      <c r="B215" s="392" t="s">
        <v>1540</v>
      </c>
      <c r="C215" s="392" t="s">
        <v>1059</v>
      </c>
      <c r="D215" s="388" t="s">
        <v>1541</v>
      </c>
      <c r="E215" s="388" t="s">
        <v>1525</v>
      </c>
      <c r="F215" s="388" t="s">
        <v>1534</v>
      </c>
      <c r="G215" s="292" t="s">
        <v>524</v>
      </c>
      <c r="H215" s="395"/>
      <c r="I215" s="395"/>
      <c r="J215" s="395">
        <f t="shared" si="43"/>
        <v>0</v>
      </c>
      <c r="K215" s="395">
        <f t="shared" si="44"/>
        <v>0</v>
      </c>
      <c r="L215" s="395">
        <f t="shared" si="45"/>
        <v>0</v>
      </c>
      <c r="M215" s="395">
        <f t="shared" si="46"/>
        <v>0</v>
      </c>
      <c r="N215" s="415"/>
      <c r="O215" s="393">
        <f>48*4</f>
        <v>192</v>
      </c>
      <c r="P215" s="393">
        <v>90</v>
      </c>
      <c r="Q215" s="393">
        <f t="shared" si="41"/>
        <v>25.38</v>
      </c>
      <c r="R215" s="393">
        <f t="shared" si="42"/>
        <v>307.38</v>
      </c>
      <c r="S215" s="370"/>
    </row>
    <row r="216" spans="1:19" ht="42" outlineLevel="1">
      <c r="A216" s="392" t="s">
        <v>1495</v>
      </c>
      <c r="B216" s="392" t="s">
        <v>1542</v>
      </c>
      <c r="C216" s="392" t="s">
        <v>1059</v>
      </c>
      <c r="D216" s="388" t="s">
        <v>1543</v>
      </c>
      <c r="E216" s="388" t="s">
        <v>1515</v>
      </c>
      <c r="F216" s="388" t="s">
        <v>1534</v>
      </c>
      <c r="G216" s="292" t="s">
        <v>524</v>
      </c>
      <c r="H216" s="395">
        <v>16</v>
      </c>
      <c r="I216" s="395"/>
      <c r="J216" s="395">
        <f t="shared" si="43"/>
        <v>1569.6</v>
      </c>
      <c r="K216" s="395">
        <f t="shared" si="44"/>
        <v>1569.6</v>
      </c>
      <c r="L216" s="395">
        <f t="shared" si="45"/>
        <v>0</v>
      </c>
      <c r="M216" s="395">
        <f t="shared" si="46"/>
        <v>0</v>
      </c>
      <c r="N216" s="415"/>
      <c r="O216" s="393">
        <v>35</v>
      </c>
      <c r="P216" s="393">
        <v>55</v>
      </c>
      <c r="Q216" s="393">
        <f t="shared" si="41"/>
        <v>8.1</v>
      </c>
      <c r="R216" s="393">
        <f t="shared" si="42"/>
        <v>98.1</v>
      </c>
      <c r="S216" s="370"/>
    </row>
    <row r="217" spans="1:19" ht="42" outlineLevel="1">
      <c r="A217" s="392" t="s">
        <v>1495</v>
      </c>
      <c r="B217" s="392" t="s">
        <v>1544</v>
      </c>
      <c r="C217" s="392" t="s">
        <v>1059</v>
      </c>
      <c r="D217" s="388" t="s">
        <v>1545</v>
      </c>
      <c r="E217" s="388" t="s">
        <v>1519</v>
      </c>
      <c r="F217" s="388" t="s">
        <v>1534</v>
      </c>
      <c r="G217" s="292" t="s">
        <v>524</v>
      </c>
      <c r="H217" s="395">
        <v>76</v>
      </c>
      <c r="I217" s="395">
        <v>6</v>
      </c>
      <c r="J217" s="395">
        <f t="shared" si="43"/>
        <v>8683.760000000002</v>
      </c>
      <c r="K217" s="395">
        <f t="shared" si="44"/>
        <v>8683.760000000002</v>
      </c>
      <c r="L217" s="395">
        <f t="shared" si="45"/>
        <v>685.56000000000017</v>
      </c>
      <c r="M217" s="395">
        <f t="shared" si="46"/>
        <v>685.56000000000017</v>
      </c>
      <c r="N217" s="415"/>
      <c r="O217" s="393">
        <f t="shared" ref="O217:O219" si="48">O212*1.1</f>
        <v>41.360000000000007</v>
      </c>
      <c r="P217" s="393">
        <f>P212*1.1</f>
        <v>63.470000000000006</v>
      </c>
      <c r="Q217" s="393">
        <f t="shared" si="41"/>
        <v>9.43</v>
      </c>
      <c r="R217" s="393">
        <f t="shared" si="42"/>
        <v>114.26000000000002</v>
      </c>
      <c r="S217" s="370"/>
    </row>
    <row r="218" spans="1:19" ht="42" outlineLevel="1">
      <c r="A218" s="392" t="s">
        <v>1495</v>
      </c>
      <c r="B218" s="392" t="s">
        <v>1546</v>
      </c>
      <c r="C218" s="392" t="s">
        <v>1059</v>
      </c>
      <c r="D218" s="388" t="s">
        <v>1547</v>
      </c>
      <c r="E218" s="388" t="s">
        <v>1521</v>
      </c>
      <c r="F218" s="388" t="s">
        <v>1534</v>
      </c>
      <c r="G218" s="292" t="s">
        <v>524</v>
      </c>
      <c r="H218" s="395"/>
      <c r="I218" s="395">
        <v>16</v>
      </c>
      <c r="J218" s="395">
        <f t="shared" si="43"/>
        <v>0</v>
      </c>
      <c r="K218" s="395">
        <f t="shared" si="44"/>
        <v>0</v>
      </c>
      <c r="L218" s="395">
        <f t="shared" si="45"/>
        <v>3094.4</v>
      </c>
      <c r="M218" s="395">
        <f t="shared" si="46"/>
        <v>3094.4</v>
      </c>
      <c r="N218" s="415"/>
      <c r="O218" s="393">
        <f t="shared" si="48"/>
        <v>109.03200000000001</v>
      </c>
      <c r="P218" s="393">
        <f>P213*1.1</f>
        <v>68.39800000000001</v>
      </c>
      <c r="Q218" s="393">
        <f t="shared" si="41"/>
        <v>15.97</v>
      </c>
      <c r="R218" s="393">
        <f t="shared" si="42"/>
        <v>193.4</v>
      </c>
      <c r="S218" s="370"/>
    </row>
    <row r="219" spans="1:19" ht="42" outlineLevel="1">
      <c r="A219" s="392" t="s">
        <v>1495</v>
      </c>
      <c r="B219" s="392" t="s">
        <v>1548</v>
      </c>
      <c r="C219" s="392" t="s">
        <v>1059</v>
      </c>
      <c r="D219" s="388" t="s">
        <v>1549</v>
      </c>
      <c r="E219" s="388" t="s">
        <v>1523</v>
      </c>
      <c r="F219" s="388" t="s">
        <v>1534</v>
      </c>
      <c r="G219" s="292" t="s">
        <v>524</v>
      </c>
      <c r="H219" s="395"/>
      <c r="I219" s="395">
        <v>4</v>
      </c>
      <c r="J219" s="395">
        <f t="shared" si="43"/>
        <v>0</v>
      </c>
      <c r="K219" s="395">
        <f t="shared" si="44"/>
        <v>0</v>
      </c>
      <c r="L219" s="395">
        <f t="shared" si="45"/>
        <v>1154.848</v>
      </c>
      <c r="M219" s="395">
        <f t="shared" si="46"/>
        <v>1154.848</v>
      </c>
      <c r="N219" s="415"/>
      <c r="O219" s="393">
        <f t="shared" si="48"/>
        <v>168.87200000000001</v>
      </c>
      <c r="P219" s="393">
        <f>P214*1.2</f>
        <v>96</v>
      </c>
      <c r="Q219" s="393">
        <f t="shared" si="41"/>
        <v>23.84</v>
      </c>
      <c r="R219" s="393">
        <f t="shared" si="42"/>
        <v>288.71199999999999</v>
      </c>
      <c r="S219" s="370"/>
    </row>
    <row r="220" spans="1:19" ht="42" outlineLevel="1">
      <c r="A220" s="392" t="s">
        <v>1495</v>
      </c>
      <c r="B220" s="392" t="s">
        <v>1550</v>
      </c>
      <c r="C220" s="392" t="s">
        <v>1059</v>
      </c>
      <c r="D220" s="388" t="s">
        <v>1551</v>
      </c>
      <c r="E220" s="388" t="s">
        <v>1525</v>
      </c>
      <c r="F220" s="388" t="s">
        <v>1534</v>
      </c>
      <c r="G220" s="292" t="s">
        <v>524</v>
      </c>
      <c r="H220" s="395"/>
      <c r="I220" s="395"/>
      <c r="J220" s="395">
        <f t="shared" si="43"/>
        <v>0</v>
      </c>
      <c r="K220" s="395">
        <f t="shared" si="44"/>
        <v>0</v>
      </c>
      <c r="L220" s="395">
        <f t="shared" si="45"/>
        <v>0</v>
      </c>
      <c r="M220" s="395">
        <f t="shared" si="46"/>
        <v>0</v>
      </c>
      <c r="N220" s="415"/>
      <c r="O220" s="393">
        <f>O215*1.3</f>
        <v>249.60000000000002</v>
      </c>
      <c r="P220" s="393">
        <f>P215*1.6</f>
        <v>144</v>
      </c>
      <c r="Q220" s="393">
        <f t="shared" si="41"/>
        <v>35.42</v>
      </c>
      <c r="R220" s="393">
        <f t="shared" si="42"/>
        <v>429.02000000000004</v>
      </c>
      <c r="S220" s="370"/>
    </row>
    <row r="221" spans="1:19" ht="21" outlineLevel="1">
      <c r="A221" s="392" t="s">
        <v>1495</v>
      </c>
      <c r="B221" s="392" t="s">
        <v>1552</v>
      </c>
      <c r="C221" s="392" t="s">
        <v>1059</v>
      </c>
      <c r="D221" s="248" t="s">
        <v>1553</v>
      </c>
      <c r="E221" s="388" t="s">
        <v>1554</v>
      </c>
      <c r="F221" s="248" t="s">
        <v>1555</v>
      </c>
      <c r="G221" s="370" t="s">
        <v>524</v>
      </c>
      <c r="H221" s="395"/>
      <c r="I221" s="395"/>
      <c r="J221" s="395">
        <f t="shared" si="43"/>
        <v>0</v>
      </c>
      <c r="K221" s="395">
        <f t="shared" si="44"/>
        <v>0</v>
      </c>
      <c r="L221" s="395">
        <f t="shared" si="45"/>
        <v>0</v>
      </c>
      <c r="M221" s="395">
        <f t="shared" si="46"/>
        <v>0</v>
      </c>
      <c r="N221" s="415"/>
      <c r="O221" s="393">
        <v>12.9310344827586</v>
      </c>
      <c r="P221" s="393">
        <v>25</v>
      </c>
      <c r="Q221" s="393">
        <f t="shared" si="41"/>
        <v>3.41</v>
      </c>
      <c r="R221" s="393">
        <f t="shared" si="42"/>
        <v>41.341034482758602</v>
      </c>
      <c r="S221" s="370"/>
    </row>
    <row r="222" spans="1:19" ht="21" outlineLevel="1">
      <c r="A222" s="392" t="s">
        <v>1495</v>
      </c>
      <c r="B222" s="392" t="s">
        <v>1556</v>
      </c>
      <c r="C222" s="392" t="s">
        <v>1059</v>
      </c>
      <c r="D222" s="248" t="s">
        <v>1553</v>
      </c>
      <c r="E222" s="388" t="s">
        <v>1557</v>
      </c>
      <c r="F222" s="248" t="s">
        <v>1555</v>
      </c>
      <c r="G222" s="370" t="s">
        <v>524</v>
      </c>
      <c r="H222" s="395">
        <v>76</v>
      </c>
      <c r="I222" s="395"/>
      <c r="J222" s="395">
        <f t="shared" si="43"/>
        <v>4684.7710344827565</v>
      </c>
      <c r="K222" s="395">
        <f t="shared" si="44"/>
        <v>4684.7710344827565</v>
      </c>
      <c r="L222" s="395">
        <f t="shared" si="45"/>
        <v>0</v>
      </c>
      <c r="M222" s="395">
        <f t="shared" si="46"/>
        <v>0</v>
      </c>
      <c r="N222" s="415"/>
      <c r="O222" s="393">
        <v>21.551724137931</v>
      </c>
      <c r="P222" s="393">
        <v>35</v>
      </c>
      <c r="Q222" s="393">
        <f t="shared" si="41"/>
        <v>5.09</v>
      </c>
      <c r="R222" s="393">
        <f t="shared" si="42"/>
        <v>61.641724137931007</v>
      </c>
      <c r="S222" s="370"/>
    </row>
    <row r="223" spans="1:19" ht="21" outlineLevel="1">
      <c r="A223" s="392" t="s">
        <v>1495</v>
      </c>
      <c r="B223" s="392" t="s">
        <v>1558</v>
      </c>
      <c r="C223" s="392" t="s">
        <v>1059</v>
      </c>
      <c r="D223" s="248" t="s">
        <v>1553</v>
      </c>
      <c r="E223" s="248" t="s">
        <v>1559</v>
      </c>
      <c r="F223" s="248" t="s">
        <v>1555</v>
      </c>
      <c r="G223" s="370" t="s">
        <v>524</v>
      </c>
      <c r="H223" s="395"/>
      <c r="I223" s="395"/>
      <c r="J223" s="395">
        <f t="shared" si="43"/>
        <v>0</v>
      </c>
      <c r="K223" s="395">
        <f t="shared" si="44"/>
        <v>0</v>
      </c>
      <c r="L223" s="395">
        <f t="shared" si="45"/>
        <v>0</v>
      </c>
      <c r="M223" s="395">
        <f t="shared" si="46"/>
        <v>0</v>
      </c>
      <c r="N223" s="415"/>
      <c r="O223" s="393">
        <v>43.1034482758621</v>
      </c>
      <c r="P223" s="393">
        <v>45</v>
      </c>
      <c r="Q223" s="393">
        <f t="shared" si="41"/>
        <v>7.93</v>
      </c>
      <c r="R223" s="393">
        <f t="shared" si="42"/>
        <v>96.033448275862099</v>
      </c>
      <c r="S223" s="370"/>
    </row>
    <row r="224" spans="1:19">
      <c r="A224" s="392" t="s">
        <v>1051</v>
      </c>
      <c r="B224" s="392" t="s">
        <v>1560</v>
      </c>
      <c r="C224" s="392" t="s">
        <v>1053</v>
      </c>
      <c r="D224" s="394" t="s">
        <v>1561</v>
      </c>
      <c r="E224" s="248"/>
      <c r="F224" s="248"/>
      <c r="G224" s="370"/>
      <c r="H224" s="395"/>
      <c r="I224" s="395"/>
      <c r="J224" s="395"/>
      <c r="K224" s="395"/>
      <c r="L224" s="395"/>
      <c r="M224" s="395"/>
      <c r="N224" s="416"/>
      <c r="O224" s="393"/>
      <c r="P224" s="393"/>
      <c r="Q224" s="393"/>
      <c r="R224" s="393"/>
      <c r="S224" s="370"/>
    </row>
    <row r="225" spans="1:19">
      <c r="A225" s="392" t="s">
        <v>1560</v>
      </c>
      <c r="B225" s="392" t="s">
        <v>1562</v>
      </c>
      <c r="C225" s="392" t="s">
        <v>1056</v>
      </c>
      <c r="D225" s="394" t="s">
        <v>1563</v>
      </c>
      <c r="E225" s="248"/>
      <c r="F225" s="248"/>
      <c r="G225" s="370"/>
      <c r="H225" s="395"/>
      <c r="I225" s="395"/>
      <c r="J225" s="395"/>
      <c r="K225" s="395"/>
      <c r="L225" s="395">
        <f t="shared" si="45"/>
        <v>0</v>
      </c>
      <c r="M225" s="395"/>
      <c r="N225" s="416"/>
      <c r="O225" s="393"/>
      <c r="P225" s="393"/>
      <c r="Q225" s="393"/>
      <c r="R225" s="395"/>
      <c r="S225" s="370"/>
    </row>
    <row r="226" spans="1:19" ht="31.5" outlineLevel="1">
      <c r="A226" s="392" t="s">
        <v>1562</v>
      </c>
      <c r="B226" s="392" t="s">
        <v>1564</v>
      </c>
      <c r="C226" s="392" t="s">
        <v>1059</v>
      </c>
      <c r="D226" s="248" t="s">
        <v>1565</v>
      </c>
      <c r="E226" s="248" t="s">
        <v>1202</v>
      </c>
      <c r="F226" s="248" t="s">
        <v>1566</v>
      </c>
      <c r="G226" s="370" t="s">
        <v>1063</v>
      </c>
      <c r="H226" s="395"/>
      <c r="I226" s="395"/>
      <c r="J226" s="395">
        <f t="shared" si="43"/>
        <v>0</v>
      </c>
      <c r="K226" s="395">
        <f t="shared" si="44"/>
        <v>0</v>
      </c>
      <c r="L226" s="395">
        <f t="shared" si="45"/>
        <v>0</v>
      </c>
      <c r="M226" s="395">
        <f t="shared" si="46"/>
        <v>0</v>
      </c>
      <c r="N226" s="415"/>
      <c r="O226" s="393">
        <f t="shared" ref="O226:O230" si="49">O72</f>
        <v>0.94827586206896597</v>
      </c>
      <c r="P226" s="393">
        <f t="shared" ref="P226:P230" si="50">P72</f>
        <v>6.5</v>
      </c>
      <c r="Q226" s="393">
        <f t="shared" ref="Q226:Q235" si="51">ROUND((O226+P226)*0.09,2)</f>
        <v>0.67</v>
      </c>
      <c r="R226" s="393">
        <f t="shared" ref="R226:R235" si="52">P226+O226+Q226</f>
        <v>8.1182758620689661</v>
      </c>
      <c r="S226" s="370"/>
    </row>
    <row r="227" spans="1:19" ht="31.5" outlineLevel="1">
      <c r="A227" s="392" t="s">
        <v>1562</v>
      </c>
      <c r="B227" s="392" t="s">
        <v>1567</v>
      </c>
      <c r="C227" s="392" t="s">
        <v>1059</v>
      </c>
      <c r="D227" s="248" t="s">
        <v>1565</v>
      </c>
      <c r="E227" s="248" t="s">
        <v>1205</v>
      </c>
      <c r="F227" s="248" t="s">
        <v>1566</v>
      </c>
      <c r="G227" s="370" t="s">
        <v>1063</v>
      </c>
      <c r="H227" s="395"/>
      <c r="I227" s="395"/>
      <c r="J227" s="395">
        <f t="shared" si="43"/>
        <v>0</v>
      </c>
      <c r="K227" s="395">
        <f t="shared" si="44"/>
        <v>0</v>
      </c>
      <c r="L227" s="395">
        <f t="shared" si="45"/>
        <v>0</v>
      </c>
      <c r="M227" s="395">
        <f t="shared" si="46"/>
        <v>0</v>
      </c>
      <c r="N227" s="415"/>
      <c r="O227" s="393">
        <f t="shared" si="49"/>
        <v>1.3534482758620701</v>
      </c>
      <c r="P227" s="393">
        <f t="shared" si="50"/>
        <v>7</v>
      </c>
      <c r="Q227" s="393">
        <f t="shared" si="51"/>
        <v>0.75</v>
      </c>
      <c r="R227" s="393">
        <f t="shared" si="52"/>
        <v>9.1034482758620694</v>
      </c>
      <c r="S227" s="370"/>
    </row>
    <row r="228" spans="1:19" ht="31.5" outlineLevel="1">
      <c r="A228" s="392" t="s">
        <v>1562</v>
      </c>
      <c r="B228" s="392" t="s">
        <v>1568</v>
      </c>
      <c r="C228" s="392" t="s">
        <v>1059</v>
      </c>
      <c r="D228" s="248" t="s">
        <v>1565</v>
      </c>
      <c r="E228" s="248" t="s">
        <v>1207</v>
      </c>
      <c r="F228" s="248" t="s">
        <v>1566</v>
      </c>
      <c r="G228" s="370" t="s">
        <v>1063</v>
      </c>
      <c r="H228" s="395"/>
      <c r="I228" s="395"/>
      <c r="J228" s="395">
        <f t="shared" si="43"/>
        <v>0</v>
      </c>
      <c r="K228" s="395">
        <f t="shared" si="44"/>
        <v>0</v>
      </c>
      <c r="L228" s="395">
        <f t="shared" si="45"/>
        <v>0</v>
      </c>
      <c r="M228" s="395">
        <f t="shared" si="46"/>
        <v>0</v>
      </c>
      <c r="N228" s="415"/>
      <c r="O228" s="393">
        <f t="shared" si="49"/>
        <v>2.2155172413793101</v>
      </c>
      <c r="P228" s="393">
        <f t="shared" si="50"/>
        <v>7.2</v>
      </c>
      <c r="Q228" s="393">
        <f t="shared" si="51"/>
        <v>0.85</v>
      </c>
      <c r="R228" s="393">
        <f t="shared" si="52"/>
        <v>10.26551724137931</v>
      </c>
      <c r="S228" s="370"/>
    </row>
    <row r="229" spans="1:19" ht="31.5" outlineLevel="1">
      <c r="A229" s="392" t="s">
        <v>1562</v>
      </c>
      <c r="B229" s="392" t="s">
        <v>1569</v>
      </c>
      <c r="C229" s="392" t="s">
        <v>1059</v>
      </c>
      <c r="D229" s="248" t="s">
        <v>1565</v>
      </c>
      <c r="E229" s="248" t="s">
        <v>1209</v>
      </c>
      <c r="F229" s="248" t="s">
        <v>1566</v>
      </c>
      <c r="G229" s="370" t="s">
        <v>1063</v>
      </c>
      <c r="H229" s="395"/>
      <c r="I229" s="395"/>
      <c r="J229" s="395">
        <f t="shared" si="43"/>
        <v>0</v>
      </c>
      <c r="K229" s="395">
        <f t="shared" si="44"/>
        <v>0</v>
      </c>
      <c r="L229" s="395">
        <f t="shared" si="45"/>
        <v>0</v>
      </c>
      <c r="M229" s="395">
        <f t="shared" si="46"/>
        <v>0</v>
      </c>
      <c r="N229" s="415"/>
      <c r="O229" s="393">
        <f t="shared" si="49"/>
        <v>2.9310344827586201</v>
      </c>
      <c r="P229" s="393">
        <f t="shared" si="50"/>
        <v>8.6</v>
      </c>
      <c r="Q229" s="393">
        <f t="shared" si="51"/>
        <v>1.04</v>
      </c>
      <c r="R229" s="393">
        <f t="shared" si="52"/>
        <v>12.57103448275862</v>
      </c>
      <c r="S229" s="370"/>
    </row>
    <row r="230" spans="1:19" ht="31.5" outlineLevel="1">
      <c r="A230" s="392" t="s">
        <v>1562</v>
      </c>
      <c r="B230" s="392" t="s">
        <v>1570</v>
      </c>
      <c r="C230" s="392" t="s">
        <v>1059</v>
      </c>
      <c r="D230" s="248" t="s">
        <v>1565</v>
      </c>
      <c r="E230" s="248" t="s">
        <v>1211</v>
      </c>
      <c r="F230" s="248" t="s">
        <v>1566</v>
      </c>
      <c r="G230" s="370" t="s">
        <v>1063</v>
      </c>
      <c r="H230" s="395"/>
      <c r="I230" s="395"/>
      <c r="J230" s="395">
        <f t="shared" si="43"/>
        <v>0</v>
      </c>
      <c r="K230" s="395">
        <f t="shared" si="44"/>
        <v>0</v>
      </c>
      <c r="L230" s="395">
        <f t="shared" si="45"/>
        <v>0</v>
      </c>
      <c r="M230" s="395">
        <f t="shared" si="46"/>
        <v>0</v>
      </c>
      <c r="N230" s="415"/>
      <c r="O230" s="393">
        <f t="shared" si="49"/>
        <v>4.0258620689655196</v>
      </c>
      <c r="P230" s="393">
        <f t="shared" si="50"/>
        <v>9</v>
      </c>
      <c r="Q230" s="393">
        <f t="shared" si="51"/>
        <v>1.17</v>
      </c>
      <c r="R230" s="393">
        <f t="shared" si="52"/>
        <v>14.195862068965519</v>
      </c>
      <c r="S230" s="370"/>
    </row>
    <row r="231" spans="1:19" ht="42" outlineLevel="1">
      <c r="A231" s="392" t="s">
        <v>1562</v>
      </c>
      <c r="B231" s="392" t="s">
        <v>1571</v>
      </c>
      <c r="C231" s="392" t="s">
        <v>1059</v>
      </c>
      <c r="D231" s="248" t="s">
        <v>1192</v>
      </c>
      <c r="E231" s="248" t="s">
        <v>1197</v>
      </c>
      <c r="F231" s="248" t="s">
        <v>1572</v>
      </c>
      <c r="G231" s="370" t="s">
        <v>1063</v>
      </c>
      <c r="H231" s="395"/>
      <c r="I231" s="395"/>
      <c r="J231" s="395">
        <f t="shared" si="43"/>
        <v>0</v>
      </c>
      <c r="K231" s="395">
        <f t="shared" si="44"/>
        <v>0</v>
      </c>
      <c r="L231" s="395">
        <f t="shared" si="45"/>
        <v>0</v>
      </c>
      <c r="M231" s="395">
        <f t="shared" si="46"/>
        <v>0</v>
      </c>
      <c r="N231" s="415"/>
      <c r="O231" s="393">
        <f t="shared" ref="O231:O233" si="53">O66</f>
        <v>4.1379310344827598</v>
      </c>
      <c r="P231" s="393">
        <f>P70</f>
        <v>7.5</v>
      </c>
      <c r="Q231" s="393">
        <f t="shared" si="51"/>
        <v>1.05</v>
      </c>
      <c r="R231" s="393">
        <f t="shared" si="52"/>
        <v>12.68793103448276</v>
      </c>
      <c r="S231" s="370"/>
    </row>
    <row r="232" spans="1:19" ht="42" outlineLevel="1">
      <c r="A232" s="392" t="s">
        <v>1562</v>
      </c>
      <c r="B232" s="392" t="s">
        <v>1573</v>
      </c>
      <c r="C232" s="392" t="s">
        <v>1059</v>
      </c>
      <c r="D232" s="248" t="s">
        <v>1192</v>
      </c>
      <c r="E232" s="248" t="s">
        <v>1199</v>
      </c>
      <c r="F232" s="248" t="s">
        <v>1572</v>
      </c>
      <c r="G232" s="370" t="s">
        <v>1063</v>
      </c>
      <c r="H232" s="395"/>
      <c r="I232" s="395"/>
      <c r="J232" s="395">
        <f t="shared" si="43"/>
        <v>0</v>
      </c>
      <c r="K232" s="395">
        <f t="shared" si="44"/>
        <v>0</v>
      </c>
      <c r="L232" s="395">
        <f t="shared" si="45"/>
        <v>0</v>
      </c>
      <c r="M232" s="395">
        <f t="shared" si="46"/>
        <v>0</v>
      </c>
      <c r="N232" s="415"/>
      <c r="O232" s="393">
        <f t="shared" si="53"/>
        <v>5.8620689655172402</v>
      </c>
      <c r="P232" s="393">
        <f>P71</f>
        <v>8</v>
      </c>
      <c r="Q232" s="393">
        <f t="shared" si="51"/>
        <v>1.25</v>
      </c>
      <c r="R232" s="393">
        <f t="shared" si="52"/>
        <v>15.11206896551724</v>
      </c>
      <c r="S232" s="370"/>
    </row>
    <row r="233" spans="1:19" ht="42" outlineLevel="1">
      <c r="A233" s="392" t="s">
        <v>1562</v>
      </c>
      <c r="B233" s="392" t="s">
        <v>1574</v>
      </c>
      <c r="C233" s="392" t="s">
        <v>1059</v>
      </c>
      <c r="D233" s="248" t="s">
        <v>1192</v>
      </c>
      <c r="E233" s="248" t="s">
        <v>1575</v>
      </c>
      <c r="F233" s="248" t="s">
        <v>1572</v>
      </c>
      <c r="G233" s="370" t="s">
        <v>1063</v>
      </c>
      <c r="H233" s="395"/>
      <c r="I233" s="395"/>
      <c r="J233" s="395">
        <f t="shared" si="43"/>
        <v>0</v>
      </c>
      <c r="K233" s="395">
        <f t="shared" si="44"/>
        <v>0</v>
      </c>
      <c r="L233" s="395">
        <f t="shared" si="45"/>
        <v>0</v>
      </c>
      <c r="M233" s="395">
        <f t="shared" si="46"/>
        <v>0</v>
      </c>
      <c r="N233" s="415"/>
      <c r="O233" s="393">
        <f t="shared" si="53"/>
        <v>2.3965517241379302</v>
      </c>
      <c r="P233" s="393">
        <v>12.5</v>
      </c>
      <c r="Q233" s="393">
        <f t="shared" si="51"/>
        <v>1.34</v>
      </c>
      <c r="R233" s="393">
        <f t="shared" si="52"/>
        <v>16.236551724137932</v>
      </c>
      <c r="S233" s="370"/>
    </row>
    <row r="234" spans="1:19" ht="21" outlineLevel="1">
      <c r="A234" s="392" t="s">
        <v>1562</v>
      </c>
      <c r="B234" s="392" t="s">
        <v>1576</v>
      </c>
      <c r="C234" s="392" t="s">
        <v>1059</v>
      </c>
      <c r="D234" s="248" t="s">
        <v>1577</v>
      </c>
      <c r="E234" s="248" t="s">
        <v>1227</v>
      </c>
      <c r="F234" s="248" t="s">
        <v>1228</v>
      </c>
      <c r="G234" s="370" t="s">
        <v>524</v>
      </c>
      <c r="H234" s="395"/>
      <c r="I234" s="395"/>
      <c r="J234" s="395">
        <f t="shared" si="43"/>
        <v>0</v>
      </c>
      <c r="K234" s="395">
        <f t="shared" si="44"/>
        <v>0</v>
      </c>
      <c r="L234" s="395">
        <f t="shared" si="45"/>
        <v>0</v>
      </c>
      <c r="M234" s="395">
        <f t="shared" si="46"/>
        <v>0</v>
      </c>
      <c r="N234" s="415"/>
      <c r="O234" s="393">
        <f>O84</f>
        <v>0.68965517241379304</v>
      </c>
      <c r="P234" s="393">
        <f>P84</f>
        <v>4.5</v>
      </c>
      <c r="Q234" s="393">
        <f t="shared" si="51"/>
        <v>0.47</v>
      </c>
      <c r="R234" s="393">
        <f t="shared" si="52"/>
        <v>5.6596551724137925</v>
      </c>
      <c r="S234" s="370"/>
    </row>
    <row r="235" spans="1:19" ht="21" outlineLevel="1">
      <c r="A235" s="392" t="s">
        <v>1562</v>
      </c>
      <c r="B235" s="392" t="s">
        <v>1578</v>
      </c>
      <c r="C235" s="392" t="s">
        <v>1059</v>
      </c>
      <c r="D235" s="248" t="s">
        <v>1579</v>
      </c>
      <c r="E235" s="248" t="s">
        <v>1227</v>
      </c>
      <c r="F235" s="248" t="s">
        <v>1228</v>
      </c>
      <c r="G235" s="370" t="s">
        <v>524</v>
      </c>
      <c r="H235" s="395"/>
      <c r="I235" s="395"/>
      <c r="J235" s="395">
        <f t="shared" si="43"/>
        <v>0</v>
      </c>
      <c r="K235" s="395">
        <f t="shared" si="44"/>
        <v>0</v>
      </c>
      <c r="L235" s="395">
        <f t="shared" si="45"/>
        <v>0</v>
      </c>
      <c r="M235" s="395">
        <f t="shared" si="46"/>
        <v>0</v>
      </c>
      <c r="N235" s="415"/>
      <c r="O235" s="393">
        <f>O85</f>
        <v>1.72413793103448</v>
      </c>
      <c r="P235" s="393">
        <f>P85</f>
        <v>5</v>
      </c>
      <c r="Q235" s="393">
        <f t="shared" si="51"/>
        <v>0.61</v>
      </c>
      <c r="R235" s="393">
        <f t="shared" si="52"/>
        <v>7.3341379310344808</v>
      </c>
      <c r="S235" s="370"/>
    </row>
    <row r="236" spans="1:19" ht="31.5">
      <c r="A236" s="392" t="s">
        <v>1560</v>
      </c>
      <c r="B236" s="392" t="s">
        <v>1580</v>
      </c>
      <c r="C236" s="392" t="s">
        <v>1056</v>
      </c>
      <c r="D236" s="394" t="s">
        <v>1581</v>
      </c>
      <c r="E236" s="394"/>
      <c r="F236" s="394"/>
      <c r="G236" s="400"/>
      <c r="H236" s="395"/>
      <c r="I236" s="395"/>
      <c r="J236" s="395"/>
      <c r="K236" s="395"/>
      <c r="L236" s="395"/>
      <c r="M236" s="395"/>
      <c r="N236" s="416"/>
      <c r="O236" s="395"/>
      <c r="P236" s="395"/>
      <c r="Q236" s="395"/>
      <c r="R236" s="395"/>
      <c r="S236" s="370"/>
    </row>
    <row r="237" spans="1:19" ht="73.5" outlineLevel="1">
      <c r="A237" s="392" t="s">
        <v>1580</v>
      </c>
      <c r="B237" s="392" t="s">
        <v>1582</v>
      </c>
      <c r="C237" s="392" t="s">
        <v>1059</v>
      </c>
      <c r="D237" s="247" t="s">
        <v>1444</v>
      </c>
      <c r="E237" s="248" t="s">
        <v>1445</v>
      </c>
      <c r="F237" s="248" t="s">
        <v>1446</v>
      </c>
      <c r="G237" s="370" t="s">
        <v>1063</v>
      </c>
      <c r="H237" s="395"/>
      <c r="I237" s="395"/>
      <c r="J237" s="395">
        <f t="shared" si="43"/>
        <v>0</v>
      </c>
      <c r="K237" s="395">
        <f t="shared" si="44"/>
        <v>0</v>
      </c>
      <c r="L237" s="395">
        <f t="shared" si="45"/>
        <v>0</v>
      </c>
      <c r="M237" s="395">
        <f t="shared" si="46"/>
        <v>0</v>
      </c>
      <c r="N237" s="415"/>
      <c r="O237" s="393">
        <f t="shared" ref="O237:O258" si="54">O168</f>
        <v>14.439655172413801</v>
      </c>
      <c r="P237" s="393">
        <f t="shared" ref="P237:P258" si="55">P168</f>
        <v>30</v>
      </c>
      <c r="Q237" s="393">
        <f t="shared" ref="Q237:Q280" si="56">ROUND((O237+P237)*0.09,2)</f>
        <v>4</v>
      </c>
      <c r="R237" s="393">
        <f t="shared" ref="R237:R280" si="57">P237+O237+Q237</f>
        <v>48.439655172413801</v>
      </c>
      <c r="S237" s="370"/>
    </row>
    <row r="238" spans="1:19" ht="73.5" outlineLevel="1">
      <c r="A238" s="392" t="s">
        <v>1580</v>
      </c>
      <c r="B238" s="392" t="s">
        <v>1583</v>
      </c>
      <c r="C238" s="392" t="s">
        <v>1059</v>
      </c>
      <c r="D238" s="247" t="s">
        <v>1444</v>
      </c>
      <c r="E238" s="248" t="s">
        <v>1448</v>
      </c>
      <c r="F238" s="248" t="s">
        <v>1446</v>
      </c>
      <c r="G238" s="370" t="s">
        <v>1063</v>
      </c>
      <c r="H238" s="395"/>
      <c r="I238" s="395"/>
      <c r="J238" s="395">
        <f t="shared" si="43"/>
        <v>0</v>
      </c>
      <c r="K238" s="395">
        <f t="shared" si="44"/>
        <v>0</v>
      </c>
      <c r="L238" s="395">
        <f t="shared" si="45"/>
        <v>0</v>
      </c>
      <c r="M238" s="395">
        <f t="shared" si="46"/>
        <v>0</v>
      </c>
      <c r="N238" s="415"/>
      <c r="O238" s="393">
        <f t="shared" si="54"/>
        <v>19.1632497362069</v>
      </c>
      <c r="P238" s="393">
        <f t="shared" si="55"/>
        <v>40</v>
      </c>
      <c r="Q238" s="393">
        <f t="shared" si="56"/>
        <v>5.32</v>
      </c>
      <c r="R238" s="393">
        <f t="shared" si="57"/>
        <v>64.483249736206901</v>
      </c>
      <c r="S238" s="370"/>
    </row>
    <row r="239" spans="1:19" ht="73.5" outlineLevel="1">
      <c r="A239" s="392" t="s">
        <v>1580</v>
      </c>
      <c r="B239" s="392" t="s">
        <v>1584</v>
      </c>
      <c r="C239" s="392" t="s">
        <v>1059</v>
      </c>
      <c r="D239" s="247" t="s">
        <v>1444</v>
      </c>
      <c r="E239" s="248" t="s">
        <v>1450</v>
      </c>
      <c r="F239" s="248" t="s">
        <v>1446</v>
      </c>
      <c r="G239" s="370" t="s">
        <v>1063</v>
      </c>
      <c r="H239" s="395"/>
      <c r="I239" s="395"/>
      <c r="J239" s="395">
        <f t="shared" si="43"/>
        <v>0</v>
      </c>
      <c r="K239" s="395">
        <f t="shared" si="44"/>
        <v>0</v>
      </c>
      <c r="L239" s="395">
        <f t="shared" si="45"/>
        <v>0</v>
      </c>
      <c r="M239" s="395">
        <f t="shared" si="46"/>
        <v>0</v>
      </c>
      <c r="N239" s="415"/>
      <c r="O239" s="393">
        <f t="shared" si="54"/>
        <v>22.315100021767201</v>
      </c>
      <c r="P239" s="393">
        <f t="shared" si="55"/>
        <v>40</v>
      </c>
      <c r="Q239" s="393">
        <f t="shared" si="56"/>
        <v>5.61</v>
      </c>
      <c r="R239" s="393">
        <f t="shared" si="57"/>
        <v>67.925100021767207</v>
      </c>
      <c r="S239" s="370"/>
    </row>
    <row r="240" spans="1:19" ht="73.5" outlineLevel="1">
      <c r="A240" s="392" t="s">
        <v>1580</v>
      </c>
      <c r="B240" s="392" t="s">
        <v>1585</v>
      </c>
      <c r="C240" s="392" t="s">
        <v>1059</v>
      </c>
      <c r="D240" s="247" t="s">
        <v>1444</v>
      </c>
      <c r="E240" s="248" t="s">
        <v>1452</v>
      </c>
      <c r="F240" s="248" t="s">
        <v>1446</v>
      </c>
      <c r="G240" s="370" t="s">
        <v>1063</v>
      </c>
      <c r="H240" s="395"/>
      <c r="I240" s="395"/>
      <c r="J240" s="395">
        <f t="shared" si="43"/>
        <v>0</v>
      </c>
      <c r="K240" s="395">
        <f t="shared" si="44"/>
        <v>0</v>
      </c>
      <c r="L240" s="395">
        <f t="shared" si="45"/>
        <v>0</v>
      </c>
      <c r="M240" s="395">
        <f t="shared" si="46"/>
        <v>0</v>
      </c>
      <c r="N240" s="415"/>
      <c r="O240" s="393">
        <f t="shared" si="54"/>
        <v>25.4669503073276</v>
      </c>
      <c r="P240" s="393">
        <f t="shared" si="55"/>
        <v>45</v>
      </c>
      <c r="Q240" s="393">
        <f t="shared" si="56"/>
        <v>6.34</v>
      </c>
      <c r="R240" s="393">
        <f t="shared" si="57"/>
        <v>76.806950307327611</v>
      </c>
      <c r="S240" s="370"/>
    </row>
    <row r="241" spans="1:19" ht="73.5" outlineLevel="1">
      <c r="A241" s="392" t="s">
        <v>1580</v>
      </c>
      <c r="B241" s="392" t="s">
        <v>1586</v>
      </c>
      <c r="C241" s="392" t="s">
        <v>1059</v>
      </c>
      <c r="D241" s="247" t="s">
        <v>1444</v>
      </c>
      <c r="E241" s="248" t="s">
        <v>1454</v>
      </c>
      <c r="F241" s="248" t="s">
        <v>1446</v>
      </c>
      <c r="G241" s="370" t="s">
        <v>1063</v>
      </c>
      <c r="H241" s="395"/>
      <c r="I241" s="395"/>
      <c r="J241" s="395">
        <f t="shared" si="43"/>
        <v>0</v>
      </c>
      <c r="K241" s="395">
        <f t="shared" si="44"/>
        <v>0</v>
      </c>
      <c r="L241" s="395">
        <f t="shared" si="45"/>
        <v>0</v>
      </c>
      <c r="M241" s="395">
        <f t="shared" si="46"/>
        <v>0</v>
      </c>
      <c r="N241" s="415"/>
      <c r="O241" s="393">
        <f t="shared" si="54"/>
        <v>27.0428754501078</v>
      </c>
      <c r="P241" s="393">
        <f t="shared" si="55"/>
        <v>45</v>
      </c>
      <c r="Q241" s="393">
        <f t="shared" si="56"/>
        <v>6.48</v>
      </c>
      <c r="R241" s="393">
        <f t="shared" si="57"/>
        <v>78.522875450107804</v>
      </c>
      <c r="S241" s="370"/>
    </row>
    <row r="242" spans="1:19" ht="73.5" outlineLevel="1">
      <c r="A242" s="392" t="s">
        <v>1580</v>
      </c>
      <c r="B242" s="392" t="s">
        <v>1587</v>
      </c>
      <c r="C242" s="392" t="s">
        <v>1059</v>
      </c>
      <c r="D242" s="247" t="s">
        <v>1444</v>
      </c>
      <c r="E242" s="248" t="s">
        <v>1456</v>
      </c>
      <c r="F242" s="248" t="s">
        <v>1446</v>
      </c>
      <c r="G242" s="370" t="s">
        <v>1063</v>
      </c>
      <c r="H242" s="395"/>
      <c r="I242" s="395"/>
      <c r="J242" s="395">
        <f t="shared" si="43"/>
        <v>0</v>
      </c>
      <c r="K242" s="395">
        <f t="shared" si="44"/>
        <v>0</v>
      </c>
      <c r="L242" s="395">
        <f t="shared" si="45"/>
        <v>0</v>
      </c>
      <c r="M242" s="395">
        <f t="shared" si="46"/>
        <v>0</v>
      </c>
      <c r="N242" s="415"/>
      <c r="O242" s="393">
        <f t="shared" si="54"/>
        <v>30.194725735668101</v>
      </c>
      <c r="P242" s="393">
        <f t="shared" si="55"/>
        <v>45</v>
      </c>
      <c r="Q242" s="393">
        <f t="shared" si="56"/>
        <v>6.77</v>
      </c>
      <c r="R242" s="393">
        <f t="shared" si="57"/>
        <v>81.964725735668097</v>
      </c>
      <c r="S242" s="370"/>
    </row>
    <row r="243" spans="1:19" ht="73.5" outlineLevel="1">
      <c r="A243" s="392" t="s">
        <v>1580</v>
      </c>
      <c r="B243" s="392" t="s">
        <v>1588</v>
      </c>
      <c r="C243" s="392" t="s">
        <v>1059</v>
      </c>
      <c r="D243" s="247" t="s">
        <v>1444</v>
      </c>
      <c r="E243" s="248" t="s">
        <v>1458</v>
      </c>
      <c r="F243" s="248" t="s">
        <v>1446</v>
      </c>
      <c r="G243" s="370" t="s">
        <v>1063</v>
      </c>
      <c r="H243" s="395"/>
      <c r="I243" s="395"/>
      <c r="J243" s="395">
        <f t="shared" si="43"/>
        <v>0</v>
      </c>
      <c r="K243" s="395">
        <f t="shared" si="44"/>
        <v>0</v>
      </c>
      <c r="L243" s="395">
        <f t="shared" si="45"/>
        <v>0</v>
      </c>
      <c r="M243" s="395">
        <f t="shared" si="46"/>
        <v>0</v>
      </c>
      <c r="N243" s="415"/>
      <c r="O243" s="393">
        <f t="shared" si="54"/>
        <v>34.922501164008601</v>
      </c>
      <c r="P243" s="393">
        <f t="shared" si="55"/>
        <v>45</v>
      </c>
      <c r="Q243" s="393">
        <f t="shared" si="56"/>
        <v>7.19</v>
      </c>
      <c r="R243" s="393">
        <f t="shared" si="57"/>
        <v>87.112501164008592</v>
      </c>
      <c r="S243" s="370"/>
    </row>
    <row r="244" spans="1:19" ht="73.5" outlineLevel="1">
      <c r="A244" s="392" t="s">
        <v>1580</v>
      </c>
      <c r="B244" s="392" t="s">
        <v>1589</v>
      </c>
      <c r="C244" s="392" t="s">
        <v>1059</v>
      </c>
      <c r="D244" s="247" t="s">
        <v>1444</v>
      </c>
      <c r="E244" s="248" t="s">
        <v>1460</v>
      </c>
      <c r="F244" s="248" t="s">
        <v>1446</v>
      </c>
      <c r="G244" s="370" t="s">
        <v>1063</v>
      </c>
      <c r="H244" s="395"/>
      <c r="I244" s="395"/>
      <c r="J244" s="395">
        <f t="shared" si="43"/>
        <v>0</v>
      </c>
      <c r="K244" s="395">
        <f t="shared" si="44"/>
        <v>0</v>
      </c>
      <c r="L244" s="395">
        <f t="shared" si="45"/>
        <v>0</v>
      </c>
      <c r="M244" s="395">
        <f t="shared" si="46"/>
        <v>0</v>
      </c>
      <c r="N244" s="415"/>
      <c r="O244" s="393">
        <f t="shared" si="54"/>
        <v>41.226201735129301</v>
      </c>
      <c r="P244" s="393">
        <f t="shared" si="55"/>
        <v>45</v>
      </c>
      <c r="Q244" s="393">
        <f t="shared" si="56"/>
        <v>7.76</v>
      </c>
      <c r="R244" s="393">
        <f t="shared" si="57"/>
        <v>93.986201735129313</v>
      </c>
      <c r="S244" s="370"/>
    </row>
    <row r="245" spans="1:19" ht="73.5" outlineLevel="1">
      <c r="A245" s="392" t="s">
        <v>1580</v>
      </c>
      <c r="B245" s="392" t="s">
        <v>1590</v>
      </c>
      <c r="C245" s="392" t="s">
        <v>1059</v>
      </c>
      <c r="D245" s="247" t="s">
        <v>1444</v>
      </c>
      <c r="E245" s="248" t="s">
        <v>1462</v>
      </c>
      <c r="F245" s="248" t="s">
        <v>1446</v>
      </c>
      <c r="G245" s="370" t="s">
        <v>1063</v>
      </c>
      <c r="H245" s="395"/>
      <c r="I245" s="395"/>
      <c r="J245" s="395">
        <f t="shared" si="43"/>
        <v>0</v>
      </c>
      <c r="K245" s="395">
        <f t="shared" si="44"/>
        <v>0</v>
      </c>
      <c r="L245" s="395">
        <f t="shared" si="45"/>
        <v>0</v>
      </c>
      <c r="M245" s="395">
        <f t="shared" si="46"/>
        <v>0</v>
      </c>
      <c r="N245" s="415"/>
      <c r="O245" s="393">
        <f t="shared" si="54"/>
        <v>49.320153268448301</v>
      </c>
      <c r="P245" s="393">
        <f t="shared" si="55"/>
        <v>50</v>
      </c>
      <c r="Q245" s="393">
        <f t="shared" si="56"/>
        <v>8.94</v>
      </c>
      <c r="R245" s="393">
        <f t="shared" si="57"/>
        <v>108.26015326844831</v>
      </c>
      <c r="S245" s="370"/>
    </row>
    <row r="246" spans="1:19" ht="73.5" outlineLevel="1">
      <c r="A246" s="392" t="s">
        <v>1580</v>
      </c>
      <c r="B246" s="392" t="s">
        <v>1591</v>
      </c>
      <c r="C246" s="392" t="s">
        <v>1059</v>
      </c>
      <c r="D246" s="247" t="s">
        <v>1444</v>
      </c>
      <c r="E246" s="248" t="s">
        <v>1464</v>
      </c>
      <c r="F246" s="248" t="s">
        <v>1446</v>
      </c>
      <c r="G246" s="370" t="s">
        <v>1063</v>
      </c>
      <c r="H246" s="395"/>
      <c r="I246" s="395"/>
      <c r="J246" s="395">
        <f t="shared" si="43"/>
        <v>0</v>
      </c>
      <c r="K246" s="395">
        <f t="shared" si="44"/>
        <v>0</v>
      </c>
      <c r="L246" s="395">
        <f t="shared" si="45"/>
        <v>0</v>
      </c>
      <c r="M246" s="395">
        <f t="shared" si="46"/>
        <v>0</v>
      </c>
      <c r="N246" s="415"/>
      <c r="O246" s="393">
        <f t="shared" si="54"/>
        <v>56.8845939537931</v>
      </c>
      <c r="P246" s="393">
        <f t="shared" si="55"/>
        <v>50</v>
      </c>
      <c r="Q246" s="393">
        <f t="shared" si="56"/>
        <v>9.6199999999999992</v>
      </c>
      <c r="R246" s="393">
        <f t="shared" si="57"/>
        <v>116.5045939537931</v>
      </c>
      <c r="S246" s="370"/>
    </row>
    <row r="247" spans="1:19" ht="73.5" outlineLevel="1">
      <c r="A247" s="392" t="s">
        <v>1580</v>
      </c>
      <c r="B247" s="392" t="s">
        <v>1592</v>
      </c>
      <c r="C247" s="392" t="s">
        <v>1059</v>
      </c>
      <c r="D247" s="247" t="s">
        <v>1444</v>
      </c>
      <c r="E247" s="248" t="s">
        <v>1466</v>
      </c>
      <c r="F247" s="248" t="s">
        <v>1446</v>
      </c>
      <c r="G247" s="370" t="s">
        <v>1063</v>
      </c>
      <c r="H247" s="395"/>
      <c r="I247" s="395"/>
      <c r="J247" s="395">
        <f t="shared" si="43"/>
        <v>0</v>
      </c>
      <c r="K247" s="395">
        <f t="shared" si="44"/>
        <v>0</v>
      </c>
      <c r="L247" s="395">
        <f t="shared" si="45"/>
        <v>0</v>
      </c>
      <c r="M247" s="395">
        <f t="shared" si="46"/>
        <v>0</v>
      </c>
      <c r="N247" s="415"/>
      <c r="O247" s="393">
        <f t="shared" si="54"/>
        <v>64.449034639137906</v>
      </c>
      <c r="P247" s="393">
        <f t="shared" si="55"/>
        <v>50</v>
      </c>
      <c r="Q247" s="393">
        <f t="shared" si="56"/>
        <v>10.3</v>
      </c>
      <c r="R247" s="393">
        <f t="shared" si="57"/>
        <v>124.7490346391379</v>
      </c>
      <c r="S247" s="370"/>
    </row>
    <row r="248" spans="1:19" ht="73.5" outlineLevel="1">
      <c r="A248" s="392" t="s">
        <v>1580</v>
      </c>
      <c r="B248" s="392" t="s">
        <v>1593</v>
      </c>
      <c r="C248" s="392" t="s">
        <v>1059</v>
      </c>
      <c r="D248" s="247" t="s">
        <v>1444</v>
      </c>
      <c r="E248" s="248" t="s">
        <v>1468</v>
      </c>
      <c r="F248" s="248" t="s">
        <v>1446</v>
      </c>
      <c r="G248" s="370" t="s">
        <v>1063</v>
      </c>
      <c r="H248" s="395"/>
      <c r="I248" s="395"/>
      <c r="J248" s="395">
        <f t="shared" si="43"/>
        <v>0</v>
      </c>
      <c r="K248" s="395">
        <f t="shared" si="44"/>
        <v>0</v>
      </c>
      <c r="L248" s="395">
        <f t="shared" si="45"/>
        <v>0</v>
      </c>
      <c r="M248" s="395">
        <f t="shared" si="46"/>
        <v>0</v>
      </c>
      <c r="N248" s="415"/>
      <c r="O248" s="393">
        <f t="shared" si="54"/>
        <v>58.523556102284502</v>
      </c>
      <c r="P248" s="393">
        <f t="shared" si="55"/>
        <v>50</v>
      </c>
      <c r="Q248" s="393">
        <f t="shared" si="56"/>
        <v>9.77</v>
      </c>
      <c r="R248" s="393">
        <f t="shared" si="57"/>
        <v>118.2935561022845</v>
      </c>
      <c r="S248" s="370"/>
    </row>
    <row r="249" spans="1:19" ht="73.5" outlineLevel="1">
      <c r="A249" s="392" t="s">
        <v>1580</v>
      </c>
      <c r="B249" s="392" t="s">
        <v>1594</v>
      </c>
      <c r="C249" s="392" t="s">
        <v>1059</v>
      </c>
      <c r="D249" s="247" t="s">
        <v>1444</v>
      </c>
      <c r="E249" s="248" t="s">
        <v>1470</v>
      </c>
      <c r="F249" s="248" t="s">
        <v>1446</v>
      </c>
      <c r="G249" s="370" t="s">
        <v>1063</v>
      </c>
      <c r="H249" s="395"/>
      <c r="I249" s="395"/>
      <c r="J249" s="395">
        <f t="shared" si="43"/>
        <v>0</v>
      </c>
      <c r="K249" s="395">
        <f t="shared" si="44"/>
        <v>0</v>
      </c>
      <c r="L249" s="395">
        <f t="shared" si="45"/>
        <v>0</v>
      </c>
      <c r="M249" s="395">
        <f t="shared" si="46"/>
        <v>0</v>
      </c>
      <c r="N249" s="415"/>
      <c r="O249" s="393">
        <f t="shared" si="54"/>
        <v>66.087996787629294</v>
      </c>
      <c r="P249" s="393">
        <f t="shared" si="55"/>
        <v>50</v>
      </c>
      <c r="Q249" s="393">
        <f t="shared" si="56"/>
        <v>10.45</v>
      </c>
      <c r="R249" s="393">
        <f t="shared" si="57"/>
        <v>126.5379967876293</v>
      </c>
      <c r="S249" s="370"/>
    </row>
    <row r="250" spans="1:19" ht="73.5" outlineLevel="1">
      <c r="A250" s="392" t="s">
        <v>1580</v>
      </c>
      <c r="B250" s="392" t="s">
        <v>1595</v>
      </c>
      <c r="C250" s="392" t="s">
        <v>1059</v>
      </c>
      <c r="D250" s="247" t="s">
        <v>1444</v>
      </c>
      <c r="E250" s="248" t="s">
        <v>1472</v>
      </c>
      <c r="F250" s="248" t="s">
        <v>1446</v>
      </c>
      <c r="G250" s="370" t="s">
        <v>1063</v>
      </c>
      <c r="H250" s="395"/>
      <c r="I250" s="395"/>
      <c r="J250" s="395">
        <f t="shared" si="43"/>
        <v>0</v>
      </c>
      <c r="K250" s="395">
        <f t="shared" si="44"/>
        <v>0</v>
      </c>
      <c r="L250" s="395">
        <f t="shared" si="45"/>
        <v>0</v>
      </c>
      <c r="M250" s="395">
        <f t="shared" si="46"/>
        <v>0</v>
      </c>
      <c r="N250" s="415"/>
      <c r="O250" s="393">
        <f t="shared" si="54"/>
        <v>73.652437472974199</v>
      </c>
      <c r="P250" s="393">
        <f t="shared" si="55"/>
        <v>50</v>
      </c>
      <c r="Q250" s="393">
        <f t="shared" si="56"/>
        <v>11.13</v>
      </c>
      <c r="R250" s="393">
        <f t="shared" si="57"/>
        <v>134.78243747297421</v>
      </c>
      <c r="S250" s="370"/>
    </row>
    <row r="251" spans="1:19" ht="73.5" outlineLevel="1">
      <c r="A251" s="392" t="s">
        <v>1580</v>
      </c>
      <c r="B251" s="392" t="s">
        <v>1596</v>
      </c>
      <c r="C251" s="392" t="s">
        <v>1059</v>
      </c>
      <c r="D251" s="247" t="s">
        <v>1444</v>
      </c>
      <c r="E251" s="248" t="s">
        <v>1474</v>
      </c>
      <c r="F251" s="248" t="s">
        <v>1446</v>
      </c>
      <c r="G251" s="370" t="s">
        <v>1063</v>
      </c>
      <c r="H251" s="395"/>
      <c r="I251" s="395"/>
      <c r="J251" s="395">
        <f t="shared" si="43"/>
        <v>0</v>
      </c>
      <c r="K251" s="395">
        <f t="shared" si="44"/>
        <v>0</v>
      </c>
      <c r="L251" s="395">
        <f t="shared" si="45"/>
        <v>0</v>
      </c>
      <c r="M251" s="395">
        <f t="shared" si="46"/>
        <v>0</v>
      </c>
      <c r="N251" s="415"/>
      <c r="O251" s="393">
        <f t="shared" si="54"/>
        <v>67.726958936120695</v>
      </c>
      <c r="P251" s="393">
        <f t="shared" si="55"/>
        <v>60</v>
      </c>
      <c r="Q251" s="393">
        <f t="shared" si="56"/>
        <v>11.5</v>
      </c>
      <c r="R251" s="393">
        <f t="shared" si="57"/>
        <v>139.2269589361207</v>
      </c>
      <c r="S251" s="370"/>
    </row>
    <row r="252" spans="1:19" ht="73.5" outlineLevel="1">
      <c r="A252" s="392" t="s">
        <v>1580</v>
      </c>
      <c r="B252" s="392" t="s">
        <v>1597</v>
      </c>
      <c r="C252" s="392" t="s">
        <v>1059</v>
      </c>
      <c r="D252" s="247" t="s">
        <v>1444</v>
      </c>
      <c r="E252" s="248" t="s">
        <v>1476</v>
      </c>
      <c r="F252" s="248" t="s">
        <v>1446</v>
      </c>
      <c r="G252" s="370" t="s">
        <v>1063</v>
      </c>
      <c r="H252" s="395"/>
      <c r="I252" s="395"/>
      <c r="J252" s="395">
        <f t="shared" si="43"/>
        <v>0</v>
      </c>
      <c r="K252" s="395">
        <f t="shared" si="44"/>
        <v>0</v>
      </c>
      <c r="L252" s="395">
        <f t="shared" si="45"/>
        <v>0</v>
      </c>
      <c r="M252" s="395">
        <f t="shared" si="46"/>
        <v>0</v>
      </c>
      <c r="N252" s="415"/>
      <c r="O252" s="393">
        <f t="shared" si="54"/>
        <v>75.291399621465501</v>
      </c>
      <c r="P252" s="393">
        <f t="shared" si="55"/>
        <v>60</v>
      </c>
      <c r="Q252" s="393">
        <f t="shared" si="56"/>
        <v>12.18</v>
      </c>
      <c r="R252" s="393">
        <f t="shared" si="57"/>
        <v>147.47139962146551</v>
      </c>
      <c r="S252" s="370"/>
    </row>
    <row r="253" spans="1:19" ht="73.5" outlineLevel="1">
      <c r="A253" s="392" t="s">
        <v>1580</v>
      </c>
      <c r="B253" s="392" t="s">
        <v>1598</v>
      </c>
      <c r="C253" s="392" t="s">
        <v>1059</v>
      </c>
      <c r="D253" s="247" t="s">
        <v>1444</v>
      </c>
      <c r="E253" s="248" t="s">
        <v>1478</v>
      </c>
      <c r="F253" s="248" t="s">
        <v>1446</v>
      </c>
      <c r="G253" s="370" t="s">
        <v>1063</v>
      </c>
      <c r="H253" s="395"/>
      <c r="I253" s="395"/>
      <c r="J253" s="395">
        <f t="shared" si="43"/>
        <v>0</v>
      </c>
      <c r="K253" s="395">
        <f t="shared" si="44"/>
        <v>0</v>
      </c>
      <c r="L253" s="395">
        <f t="shared" si="45"/>
        <v>0</v>
      </c>
      <c r="M253" s="395">
        <f t="shared" si="46"/>
        <v>0</v>
      </c>
      <c r="N253" s="415"/>
      <c r="O253" s="393">
        <f t="shared" si="54"/>
        <v>82.855840306810407</v>
      </c>
      <c r="P253" s="393">
        <f t="shared" si="55"/>
        <v>65</v>
      </c>
      <c r="Q253" s="393">
        <f t="shared" si="56"/>
        <v>13.31</v>
      </c>
      <c r="R253" s="393">
        <f t="shared" si="57"/>
        <v>161.16584030681042</v>
      </c>
      <c r="S253" s="370"/>
    </row>
    <row r="254" spans="1:19" ht="73.5" outlineLevel="1">
      <c r="A254" s="392" t="s">
        <v>1580</v>
      </c>
      <c r="B254" s="392" t="s">
        <v>1599</v>
      </c>
      <c r="C254" s="392" t="s">
        <v>1059</v>
      </c>
      <c r="D254" s="247" t="s">
        <v>1444</v>
      </c>
      <c r="E254" s="248" t="s">
        <v>1480</v>
      </c>
      <c r="F254" s="248" t="s">
        <v>1446</v>
      </c>
      <c r="G254" s="370" t="s">
        <v>1063</v>
      </c>
      <c r="H254" s="395"/>
      <c r="I254" s="395"/>
      <c r="J254" s="395">
        <f t="shared" si="43"/>
        <v>0</v>
      </c>
      <c r="K254" s="395">
        <f t="shared" si="44"/>
        <v>0</v>
      </c>
      <c r="L254" s="395">
        <f t="shared" si="45"/>
        <v>0</v>
      </c>
      <c r="M254" s="395">
        <f t="shared" si="46"/>
        <v>0</v>
      </c>
      <c r="N254" s="415"/>
      <c r="O254" s="393">
        <f t="shared" si="54"/>
        <v>76.930361769956903</v>
      </c>
      <c r="P254" s="393">
        <f t="shared" si="55"/>
        <v>78</v>
      </c>
      <c r="Q254" s="393">
        <f t="shared" si="56"/>
        <v>13.94</v>
      </c>
      <c r="R254" s="393">
        <f t="shared" si="57"/>
        <v>168.8703617699569</v>
      </c>
      <c r="S254" s="370"/>
    </row>
    <row r="255" spans="1:19" ht="73.5" outlineLevel="1">
      <c r="A255" s="392" t="s">
        <v>1580</v>
      </c>
      <c r="B255" s="392" t="s">
        <v>1600</v>
      </c>
      <c r="C255" s="392" t="s">
        <v>1059</v>
      </c>
      <c r="D255" s="247" t="s">
        <v>1444</v>
      </c>
      <c r="E255" s="248" t="s">
        <v>1482</v>
      </c>
      <c r="F255" s="248" t="s">
        <v>1446</v>
      </c>
      <c r="G255" s="370" t="s">
        <v>1063</v>
      </c>
      <c r="H255" s="395"/>
      <c r="I255" s="395"/>
      <c r="J255" s="395">
        <f t="shared" si="43"/>
        <v>0</v>
      </c>
      <c r="K255" s="395">
        <f t="shared" si="44"/>
        <v>0</v>
      </c>
      <c r="L255" s="395">
        <f t="shared" si="45"/>
        <v>0</v>
      </c>
      <c r="M255" s="395">
        <f t="shared" si="46"/>
        <v>0</v>
      </c>
      <c r="N255" s="415"/>
      <c r="O255" s="393">
        <f t="shared" si="54"/>
        <v>84.494802455301695</v>
      </c>
      <c r="P255" s="393">
        <f t="shared" si="55"/>
        <v>78</v>
      </c>
      <c r="Q255" s="393">
        <f t="shared" si="56"/>
        <v>14.62</v>
      </c>
      <c r="R255" s="393">
        <f t="shared" si="57"/>
        <v>177.11480245530169</v>
      </c>
      <c r="S255" s="370"/>
    </row>
    <row r="256" spans="1:19" ht="73.5" outlineLevel="1">
      <c r="A256" s="392" t="s">
        <v>1580</v>
      </c>
      <c r="B256" s="392" t="s">
        <v>1601</v>
      </c>
      <c r="C256" s="392" t="s">
        <v>1059</v>
      </c>
      <c r="D256" s="247" t="s">
        <v>1444</v>
      </c>
      <c r="E256" s="248" t="s">
        <v>1484</v>
      </c>
      <c r="F256" s="248" t="s">
        <v>1446</v>
      </c>
      <c r="G256" s="370" t="s">
        <v>1063</v>
      </c>
      <c r="H256" s="395"/>
      <c r="I256" s="395"/>
      <c r="J256" s="395">
        <f t="shared" si="43"/>
        <v>0</v>
      </c>
      <c r="K256" s="395">
        <f t="shared" si="44"/>
        <v>0</v>
      </c>
      <c r="L256" s="395">
        <f t="shared" si="45"/>
        <v>0</v>
      </c>
      <c r="M256" s="395">
        <f t="shared" si="46"/>
        <v>0</v>
      </c>
      <c r="N256" s="415"/>
      <c r="O256" s="393">
        <f t="shared" si="54"/>
        <v>92.059243140646501</v>
      </c>
      <c r="P256" s="393">
        <f t="shared" si="55"/>
        <v>78</v>
      </c>
      <c r="Q256" s="393">
        <f t="shared" si="56"/>
        <v>15.31</v>
      </c>
      <c r="R256" s="393">
        <f t="shared" si="57"/>
        <v>185.36924314064652</v>
      </c>
      <c r="S256" s="370"/>
    </row>
    <row r="257" spans="1:19" ht="73.5" outlineLevel="1">
      <c r="A257" s="392" t="s">
        <v>1580</v>
      </c>
      <c r="B257" s="392" t="s">
        <v>1602</v>
      </c>
      <c r="C257" s="392" t="s">
        <v>1059</v>
      </c>
      <c r="D257" s="247" t="s">
        <v>1444</v>
      </c>
      <c r="E257" s="248" t="s">
        <v>1486</v>
      </c>
      <c r="F257" s="248" t="s">
        <v>1446</v>
      </c>
      <c r="G257" s="370" t="s">
        <v>1063</v>
      </c>
      <c r="H257" s="395"/>
      <c r="I257" s="395"/>
      <c r="J257" s="395">
        <f t="shared" si="43"/>
        <v>0</v>
      </c>
      <c r="K257" s="395">
        <f t="shared" si="44"/>
        <v>0</v>
      </c>
      <c r="L257" s="395">
        <f t="shared" si="45"/>
        <v>0</v>
      </c>
      <c r="M257" s="395">
        <f t="shared" si="46"/>
        <v>0</v>
      </c>
      <c r="N257" s="415"/>
      <c r="O257" s="393">
        <f t="shared" si="54"/>
        <v>109.93653796034501</v>
      </c>
      <c r="P257" s="393">
        <f t="shared" si="55"/>
        <v>100</v>
      </c>
      <c r="Q257" s="393">
        <f t="shared" si="56"/>
        <v>18.89</v>
      </c>
      <c r="R257" s="393">
        <f t="shared" si="57"/>
        <v>228.82653796034498</v>
      </c>
      <c r="S257" s="370"/>
    </row>
    <row r="258" spans="1:19" ht="73.5" outlineLevel="1">
      <c r="A258" s="392" t="s">
        <v>1580</v>
      </c>
      <c r="B258" s="392" t="s">
        <v>1603</v>
      </c>
      <c r="C258" s="392" t="s">
        <v>1059</v>
      </c>
      <c r="D258" s="247" t="s">
        <v>1444</v>
      </c>
      <c r="E258" s="248" t="s">
        <v>1488</v>
      </c>
      <c r="F258" s="248" t="s">
        <v>1446</v>
      </c>
      <c r="G258" s="370" t="s">
        <v>1063</v>
      </c>
      <c r="H258" s="395"/>
      <c r="I258" s="395"/>
      <c r="J258" s="395">
        <f t="shared" si="43"/>
        <v>0</v>
      </c>
      <c r="K258" s="395">
        <f t="shared" si="44"/>
        <v>0</v>
      </c>
      <c r="L258" s="395">
        <f t="shared" si="45"/>
        <v>0</v>
      </c>
      <c r="M258" s="395">
        <f t="shared" si="46"/>
        <v>0</v>
      </c>
      <c r="N258" s="415"/>
      <c r="O258" s="393">
        <f t="shared" si="54"/>
        <v>119.39208881702601</v>
      </c>
      <c r="P258" s="393">
        <f t="shared" si="55"/>
        <v>100</v>
      </c>
      <c r="Q258" s="393">
        <f t="shared" si="56"/>
        <v>19.75</v>
      </c>
      <c r="R258" s="393">
        <f t="shared" si="57"/>
        <v>239.14208881702601</v>
      </c>
      <c r="S258" s="370"/>
    </row>
    <row r="259" spans="1:19" ht="73.5" outlineLevel="1">
      <c r="A259" s="392" t="s">
        <v>1580</v>
      </c>
      <c r="B259" s="392" t="s">
        <v>1604</v>
      </c>
      <c r="C259" s="392" t="s">
        <v>1059</v>
      </c>
      <c r="D259" s="247" t="s">
        <v>1605</v>
      </c>
      <c r="E259" s="248" t="s">
        <v>1445</v>
      </c>
      <c r="F259" s="248" t="s">
        <v>1446</v>
      </c>
      <c r="G259" s="370" t="s">
        <v>1063</v>
      </c>
      <c r="H259" s="395"/>
      <c r="I259" s="395"/>
      <c r="J259" s="395">
        <f t="shared" si="43"/>
        <v>0</v>
      </c>
      <c r="K259" s="395">
        <f t="shared" si="44"/>
        <v>0</v>
      </c>
      <c r="L259" s="395">
        <f t="shared" si="45"/>
        <v>0</v>
      </c>
      <c r="M259" s="395">
        <f t="shared" si="46"/>
        <v>0</v>
      </c>
      <c r="N259" s="415"/>
      <c r="O259" s="393">
        <v>14.8819322761509</v>
      </c>
      <c r="P259" s="393">
        <f t="shared" ref="P259:P280" si="58">P237</f>
        <v>30</v>
      </c>
      <c r="Q259" s="393">
        <f t="shared" si="56"/>
        <v>4.04</v>
      </c>
      <c r="R259" s="393">
        <f t="shared" si="57"/>
        <v>48.921932276150898</v>
      </c>
      <c r="S259" s="370"/>
    </row>
    <row r="260" spans="1:19" ht="73.5" outlineLevel="1">
      <c r="A260" s="392" t="s">
        <v>1580</v>
      </c>
      <c r="B260" s="392" t="s">
        <v>1606</v>
      </c>
      <c r="C260" s="392" t="s">
        <v>1059</v>
      </c>
      <c r="D260" s="247" t="s">
        <v>1605</v>
      </c>
      <c r="E260" s="248" t="s">
        <v>1448</v>
      </c>
      <c r="F260" s="248" t="s">
        <v>1446</v>
      </c>
      <c r="G260" s="370" t="s">
        <v>1063</v>
      </c>
      <c r="H260" s="395"/>
      <c r="I260" s="395"/>
      <c r="J260" s="395">
        <f t="shared" si="43"/>
        <v>0</v>
      </c>
      <c r="K260" s="395">
        <f t="shared" si="44"/>
        <v>0</v>
      </c>
      <c r="L260" s="395">
        <f t="shared" si="45"/>
        <v>0</v>
      </c>
      <c r="M260" s="395">
        <f t="shared" si="46"/>
        <v>0</v>
      </c>
      <c r="N260" s="415"/>
      <c r="O260" s="393">
        <v>26.2545879456985</v>
      </c>
      <c r="P260" s="393">
        <f t="shared" si="58"/>
        <v>40</v>
      </c>
      <c r="Q260" s="393">
        <f t="shared" si="56"/>
        <v>5.96</v>
      </c>
      <c r="R260" s="393">
        <f t="shared" si="57"/>
        <v>72.214587945698497</v>
      </c>
      <c r="S260" s="370"/>
    </row>
    <row r="261" spans="1:19" ht="73.5" outlineLevel="1">
      <c r="A261" s="392" t="s">
        <v>1580</v>
      </c>
      <c r="B261" s="392" t="s">
        <v>1607</v>
      </c>
      <c r="C261" s="392" t="s">
        <v>1059</v>
      </c>
      <c r="D261" s="247" t="s">
        <v>1605</v>
      </c>
      <c r="E261" s="248" t="s">
        <v>1450</v>
      </c>
      <c r="F261" s="248" t="s">
        <v>1446</v>
      </c>
      <c r="G261" s="370" t="s">
        <v>1063</v>
      </c>
      <c r="H261" s="395"/>
      <c r="I261" s="395"/>
      <c r="J261" s="395">
        <f t="shared" si="43"/>
        <v>0</v>
      </c>
      <c r="K261" s="395">
        <f t="shared" si="44"/>
        <v>0</v>
      </c>
      <c r="L261" s="395">
        <f t="shared" si="45"/>
        <v>0</v>
      </c>
      <c r="M261" s="395">
        <f t="shared" si="46"/>
        <v>0</v>
      </c>
      <c r="N261" s="415"/>
      <c r="O261" s="393">
        <v>19.755927563099899</v>
      </c>
      <c r="P261" s="393">
        <f t="shared" si="58"/>
        <v>40</v>
      </c>
      <c r="Q261" s="393">
        <f t="shared" si="56"/>
        <v>5.38</v>
      </c>
      <c r="R261" s="393">
        <f t="shared" si="57"/>
        <v>65.135927563099898</v>
      </c>
      <c r="S261" s="370"/>
    </row>
    <row r="262" spans="1:19" ht="73.5" outlineLevel="1">
      <c r="A262" s="392" t="s">
        <v>1580</v>
      </c>
      <c r="B262" s="392" t="s">
        <v>1608</v>
      </c>
      <c r="C262" s="392" t="s">
        <v>1059</v>
      </c>
      <c r="D262" s="247" t="s">
        <v>1605</v>
      </c>
      <c r="E262" s="248" t="s">
        <v>1452</v>
      </c>
      <c r="F262" s="248" t="s">
        <v>1446</v>
      </c>
      <c r="G262" s="370" t="s">
        <v>1063</v>
      </c>
      <c r="H262" s="395"/>
      <c r="I262" s="395"/>
      <c r="J262" s="395">
        <f t="shared" ref="J262:J324" si="59">H262*R262</f>
        <v>0</v>
      </c>
      <c r="K262" s="395">
        <f t="shared" ref="K262:K324" si="60">H262*R262*(1+N262)</f>
        <v>0</v>
      </c>
      <c r="L262" s="395">
        <f t="shared" ref="L262:L324" si="61">I262*R262</f>
        <v>0</v>
      </c>
      <c r="M262" s="395">
        <f t="shared" ref="M262:M324" si="62">I262*R262*(1+N262)</f>
        <v>0</v>
      </c>
      <c r="N262" s="415"/>
      <c r="O262" s="393">
        <v>23.005257754399199</v>
      </c>
      <c r="P262" s="393">
        <f t="shared" si="58"/>
        <v>45</v>
      </c>
      <c r="Q262" s="393">
        <f t="shared" si="56"/>
        <v>6.12</v>
      </c>
      <c r="R262" s="393">
        <f t="shared" si="57"/>
        <v>74.1252577543992</v>
      </c>
      <c r="S262" s="370"/>
    </row>
    <row r="263" spans="1:19" ht="73.5" outlineLevel="1">
      <c r="A263" s="392" t="s">
        <v>1580</v>
      </c>
      <c r="B263" s="392" t="s">
        <v>1609</v>
      </c>
      <c r="C263" s="392" t="s">
        <v>1059</v>
      </c>
      <c r="D263" s="247" t="s">
        <v>1605</v>
      </c>
      <c r="E263" s="248" t="s">
        <v>1454</v>
      </c>
      <c r="F263" s="248" t="s">
        <v>1446</v>
      </c>
      <c r="G263" s="370" t="s">
        <v>1063</v>
      </c>
      <c r="H263" s="395"/>
      <c r="I263" s="395"/>
      <c r="J263" s="395">
        <f t="shared" si="59"/>
        <v>0</v>
      </c>
      <c r="K263" s="395">
        <f t="shared" si="60"/>
        <v>0</v>
      </c>
      <c r="L263" s="395">
        <f t="shared" si="61"/>
        <v>0</v>
      </c>
      <c r="M263" s="395">
        <f t="shared" si="62"/>
        <v>0</v>
      </c>
      <c r="N263" s="415"/>
      <c r="O263" s="393">
        <v>31.1285832326475</v>
      </c>
      <c r="P263" s="393">
        <f t="shared" si="58"/>
        <v>45</v>
      </c>
      <c r="Q263" s="393">
        <f t="shared" si="56"/>
        <v>6.85</v>
      </c>
      <c r="R263" s="393">
        <f t="shared" si="57"/>
        <v>82.978583232647495</v>
      </c>
      <c r="S263" s="370"/>
    </row>
    <row r="264" spans="1:19" ht="73.5" outlineLevel="1">
      <c r="A264" s="392" t="s">
        <v>1580</v>
      </c>
      <c r="B264" s="392" t="s">
        <v>1610</v>
      </c>
      <c r="C264" s="392" t="s">
        <v>1059</v>
      </c>
      <c r="D264" s="247" t="s">
        <v>1605</v>
      </c>
      <c r="E264" s="248" t="s">
        <v>1456</v>
      </c>
      <c r="F264" s="248" t="s">
        <v>1446</v>
      </c>
      <c r="G264" s="370" t="s">
        <v>1063</v>
      </c>
      <c r="H264" s="395"/>
      <c r="I264" s="395"/>
      <c r="J264" s="395">
        <f t="shared" si="59"/>
        <v>0</v>
      </c>
      <c r="K264" s="395">
        <f t="shared" si="60"/>
        <v>0</v>
      </c>
      <c r="L264" s="395">
        <f t="shared" si="61"/>
        <v>0</v>
      </c>
      <c r="M264" s="395">
        <f t="shared" si="62"/>
        <v>0</v>
      </c>
      <c r="N264" s="415"/>
      <c r="O264" s="393">
        <v>27.8792530413482</v>
      </c>
      <c r="P264" s="393">
        <f t="shared" si="58"/>
        <v>45</v>
      </c>
      <c r="Q264" s="393">
        <f t="shared" si="56"/>
        <v>6.56</v>
      </c>
      <c r="R264" s="393">
        <f t="shared" si="57"/>
        <v>79.439253041348195</v>
      </c>
      <c r="S264" s="370"/>
    </row>
    <row r="265" spans="1:19" ht="73.5" outlineLevel="1">
      <c r="A265" s="392" t="s">
        <v>1580</v>
      </c>
      <c r="B265" s="392" t="s">
        <v>1611</v>
      </c>
      <c r="C265" s="392" t="s">
        <v>1059</v>
      </c>
      <c r="D265" s="247" t="s">
        <v>1605</v>
      </c>
      <c r="E265" s="248" t="s">
        <v>1458</v>
      </c>
      <c r="F265" s="248" t="s">
        <v>1446</v>
      </c>
      <c r="G265" s="370" t="s">
        <v>1063</v>
      </c>
      <c r="H265" s="395"/>
      <c r="I265" s="395"/>
      <c r="J265" s="395">
        <f t="shared" si="59"/>
        <v>0</v>
      </c>
      <c r="K265" s="395">
        <f t="shared" si="60"/>
        <v>0</v>
      </c>
      <c r="L265" s="395">
        <f t="shared" si="61"/>
        <v>0</v>
      </c>
      <c r="M265" s="395">
        <f t="shared" si="62"/>
        <v>0</v>
      </c>
      <c r="N265" s="415"/>
      <c r="O265" s="393">
        <v>36.002578519596497</v>
      </c>
      <c r="P265" s="393">
        <f t="shared" si="58"/>
        <v>45</v>
      </c>
      <c r="Q265" s="393">
        <f t="shared" si="56"/>
        <v>7.29</v>
      </c>
      <c r="R265" s="393">
        <f t="shared" si="57"/>
        <v>88.292578519596503</v>
      </c>
      <c r="S265" s="370"/>
    </row>
    <row r="266" spans="1:19" ht="73.5" outlineLevel="1">
      <c r="A266" s="392" t="s">
        <v>1580</v>
      </c>
      <c r="B266" s="392" t="s">
        <v>1612</v>
      </c>
      <c r="C266" s="392" t="s">
        <v>1059</v>
      </c>
      <c r="D266" s="247" t="s">
        <v>1605</v>
      </c>
      <c r="E266" s="248" t="s">
        <v>1460</v>
      </c>
      <c r="F266" s="248" t="s">
        <v>1446</v>
      </c>
      <c r="G266" s="370" t="s">
        <v>1063</v>
      </c>
      <c r="H266" s="395"/>
      <c r="I266" s="395"/>
      <c r="J266" s="395">
        <f t="shared" si="59"/>
        <v>0</v>
      </c>
      <c r="K266" s="395">
        <f t="shared" si="60"/>
        <v>0</v>
      </c>
      <c r="L266" s="395">
        <f t="shared" si="61"/>
        <v>0</v>
      </c>
      <c r="M266" s="395">
        <f t="shared" si="62"/>
        <v>0</v>
      </c>
      <c r="N266" s="415"/>
      <c r="O266" s="393">
        <v>42.501238902195198</v>
      </c>
      <c r="P266" s="393">
        <f t="shared" si="58"/>
        <v>45</v>
      </c>
      <c r="Q266" s="393">
        <f t="shared" si="56"/>
        <v>7.88</v>
      </c>
      <c r="R266" s="393">
        <f t="shared" si="57"/>
        <v>95.381238902195193</v>
      </c>
      <c r="S266" s="370"/>
    </row>
    <row r="267" spans="1:19" ht="73.5" outlineLevel="1">
      <c r="A267" s="392" t="s">
        <v>1580</v>
      </c>
      <c r="B267" s="392" t="s">
        <v>1613</v>
      </c>
      <c r="C267" s="392" t="s">
        <v>1059</v>
      </c>
      <c r="D267" s="247" t="s">
        <v>1605</v>
      </c>
      <c r="E267" s="248" t="s">
        <v>1462</v>
      </c>
      <c r="F267" s="248" t="s">
        <v>1446</v>
      </c>
      <c r="G267" s="370" t="s">
        <v>1063</v>
      </c>
      <c r="H267" s="395"/>
      <c r="I267" s="395"/>
      <c r="J267" s="395">
        <f t="shared" si="59"/>
        <v>0</v>
      </c>
      <c r="K267" s="395">
        <f t="shared" si="60"/>
        <v>0</v>
      </c>
      <c r="L267" s="395">
        <f t="shared" si="61"/>
        <v>0</v>
      </c>
      <c r="M267" s="395">
        <f t="shared" si="62"/>
        <v>0</v>
      </c>
      <c r="N267" s="415"/>
      <c r="O267" s="393">
        <v>50.845518833451798</v>
      </c>
      <c r="P267" s="393">
        <f t="shared" si="58"/>
        <v>50</v>
      </c>
      <c r="Q267" s="393">
        <f t="shared" si="56"/>
        <v>9.08</v>
      </c>
      <c r="R267" s="393">
        <f t="shared" si="57"/>
        <v>109.92551883345179</v>
      </c>
      <c r="S267" s="370"/>
    </row>
    <row r="268" spans="1:19" ht="73.5" outlineLevel="1">
      <c r="A268" s="392" t="s">
        <v>1580</v>
      </c>
      <c r="B268" s="392" t="s">
        <v>1614</v>
      </c>
      <c r="C268" s="392" t="s">
        <v>1059</v>
      </c>
      <c r="D268" s="247" t="s">
        <v>1605</v>
      </c>
      <c r="E268" s="248" t="s">
        <v>1464</v>
      </c>
      <c r="F268" s="248" t="s">
        <v>1446</v>
      </c>
      <c r="G268" s="370" t="s">
        <v>1063</v>
      </c>
      <c r="H268" s="395"/>
      <c r="I268" s="395"/>
      <c r="J268" s="395">
        <f t="shared" si="59"/>
        <v>0</v>
      </c>
      <c r="K268" s="395">
        <f t="shared" si="60"/>
        <v>0</v>
      </c>
      <c r="L268" s="395">
        <f t="shared" si="61"/>
        <v>0</v>
      </c>
      <c r="M268" s="395">
        <f t="shared" si="62"/>
        <v>0</v>
      </c>
      <c r="N268" s="415"/>
      <c r="O268" s="393">
        <v>58.643911292570202</v>
      </c>
      <c r="P268" s="393">
        <f t="shared" si="58"/>
        <v>50</v>
      </c>
      <c r="Q268" s="393">
        <f t="shared" si="56"/>
        <v>9.7799999999999994</v>
      </c>
      <c r="R268" s="393">
        <f t="shared" si="57"/>
        <v>118.42391129257021</v>
      </c>
      <c r="S268" s="370"/>
    </row>
    <row r="269" spans="1:19" ht="73.5" outlineLevel="1">
      <c r="A269" s="392" t="s">
        <v>1580</v>
      </c>
      <c r="B269" s="392" t="s">
        <v>1615</v>
      </c>
      <c r="C269" s="392" t="s">
        <v>1059</v>
      </c>
      <c r="D269" s="247" t="s">
        <v>1605</v>
      </c>
      <c r="E269" s="248" t="s">
        <v>1466</v>
      </c>
      <c r="F269" s="248" t="s">
        <v>1446</v>
      </c>
      <c r="G269" s="370" t="s">
        <v>1063</v>
      </c>
      <c r="H269" s="395"/>
      <c r="I269" s="395"/>
      <c r="J269" s="395">
        <f t="shared" si="59"/>
        <v>0</v>
      </c>
      <c r="K269" s="395">
        <f t="shared" si="60"/>
        <v>0</v>
      </c>
      <c r="L269" s="395">
        <f t="shared" si="61"/>
        <v>0</v>
      </c>
      <c r="M269" s="395">
        <f t="shared" si="62"/>
        <v>0</v>
      </c>
      <c r="N269" s="415"/>
      <c r="O269" s="393">
        <v>66.442303751688598</v>
      </c>
      <c r="P269" s="393">
        <f t="shared" si="58"/>
        <v>50</v>
      </c>
      <c r="Q269" s="393">
        <f t="shared" si="56"/>
        <v>10.48</v>
      </c>
      <c r="R269" s="393">
        <f t="shared" si="57"/>
        <v>126.9223037516886</v>
      </c>
      <c r="S269" s="370"/>
    </row>
    <row r="270" spans="1:19" ht="73.5" outlineLevel="1">
      <c r="A270" s="392" t="s">
        <v>1580</v>
      </c>
      <c r="B270" s="392" t="s">
        <v>1616</v>
      </c>
      <c r="C270" s="392" t="s">
        <v>1059</v>
      </c>
      <c r="D270" s="247" t="s">
        <v>1605</v>
      </c>
      <c r="E270" s="248" t="s">
        <v>1468</v>
      </c>
      <c r="F270" s="248" t="s">
        <v>1446</v>
      </c>
      <c r="G270" s="370" t="s">
        <v>1063</v>
      </c>
      <c r="H270" s="395"/>
      <c r="I270" s="395"/>
      <c r="J270" s="395">
        <f t="shared" si="59"/>
        <v>0</v>
      </c>
      <c r="K270" s="395">
        <f t="shared" si="60"/>
        <v>0</v>
      </c>
      <c r="L270" s="395">
        <f t="shared" si="61"/>
        <v>0</v>
      </c>
      <c r="M270" s="395">
        <f t="shared" si="62"/>
        <v>0</v>
      </c>
      <c r="N270" s="415"/>
      <c r="O270" s="393">
        <v>60.333562992045898</v>
      </c>
      <c r="P270" s="393">
        <f t="shared" si="58"/>
        <v>50</v>
      </c>
      <c r="Q270" s="393">
        <f t="shared" si="56"/>
        <v>9.93</v>
      </c>
      <c r="R270" s="393">
        <f t="shared" si="57"/>
        <v>120.26356299204591</v>
      </c>
      <c r="S270" s="370"/>
    </row>
    <row r="271" spans="1:19" ht="73.5" outlineLevel="1">
      <c r="A271" s="392" t="s">
        <v>1580</v>
      </c>
      <c r="B271" s="392" t="s">
        <v>1617</v>
      </c>
      <c r="C271" s="392" t="s">
        <v>1059</v>
      </c>
      <c r="D271" s="247" t="s">
        <v>1605</v>
      </c>
      <c r="E271" s="248" t="s">
        <v>1470</v>
      </c>
      <c r="F271" s="248" t="s">
        <v>1446</v>
      </c>
      <c r="G271" s="370" t="s">
        <v>1063</v>
      </c>
      <c r="H271" s="395"/>
      <c r="I271" s="395"/>
      <c r="J271" s="395">
        <f t="shared" si="59"/>
        <v>0</v>
      </c>
      <c r="K271" s="395">
        <f t="shared" si="60"/>
        <v>0</v>
      </c>
      <c r="L271" s="395">
        <f t="shared" si="61"/>
        <v>0</v>
      </c>
      <c r="M271" s="395">
        <f t="shared" si="62"/>
        <v>0</v>
      </c>
      <c r="N271" s="415"/>
      <c r="O271" s="393">
        <v>68.131955451164202</v>
      </c>
      <c r="P271" s="393">
        <f t="shared" si="58"/>
        <v>50</v>
      </c>
      <c r="Q271" s="393">
        <f t="shared" si="56"/>
        <v>10.63</v>
      </c>
      <c r="R271" s="393">
        <f t="shared" si="57"/>
        <v>128.7619554511642</v>
      </c>
      <c r="S271" s="370"/>
    </row>
    <row r="272" spans="1:19" ht="73.5" outlineLevel="1">
      <c r="A272" s="392" t="s">
        <v>1580</v>
      </c>
      <c r="B272" s="392" t="s">
        <v>1618</v>
      </c>
      <c r="C272" s="392" t="s">
        <v>1059</v>
      </c>
      <c r="D272" s="247" t="s">
        <v>1605</v>
      </c>
      <c r="E272" s="248" t="s">
        <v>1472</v>
      </c>
      <c r="F272" s="248" t="s">
        <v>1446</v>
      </c>
      <c r="G272" s="370" t="s">
        <v>1063</v>
      </c>
      <c r="H272" s="395"/>
      <c r="I272" s="395"/>
      <c r="J272" s="395">
        <f t="shared" si="59"/>
        <v>0</v>
      </c>
      <c r="K272" s="395">
        <f t="shared" si="60"/>
        <v>0</v>
      </c>
      <c r="L272" s="395">
        <f t="shared" si="61"/>
        <v>0</v>
      </c>
      <c r="M272" s="395">
        <f t="shared" si="62"/>
        <v>0</v>
      </c>
      <c r="N272" s="415"/>
      <c r="O272" s="393">
        <v>75.930347910282606</v>
      </c>
      <c r="P272" s="393">
        <f t="shared" si="58"/>
        <v>50</v>
      </c>
      <c r="Q272" s="393">
        <f t="shared" si="56"/>
        <v>11.33</v>
      </c>
      <c r="R272" s="393">
        <f t="shared" si="57"/>
        <v>137.2603479102826</v>
      </c>
      <c r="S272" s="370"/>
    </row>
    <row r="273" spans="1:22" ht="73.5" outlineLevel="1">
      <c r="A273" s="392" t="s">
        <v>1580</v>
      </c>
      <c r="B273" s="392" t="s">
        <v>1619</v>
      </c>
      <c r="C273" s="392" t="s">
        <v>1059</v>
      </c>
      <c r="D273" s="247" t="s">
        <v>1605</v>
      </c>
      <c r="E273" s="248" t="s">
        <v>1474</v>
      </c>
      <c r="F273" s="248" t="s">
        <v>1446</v>
      </c>
      <c r="G273" s="370" t="s">
        <v>1063</v>
      </c>
      <c r="H273" s="395"/>
      <c r="I273" s="395"/>
      <c r="J273" s="395">
        <f t="shared" si="59"/>
        <v>0</v>
      </c>
      <c r="K273" s="395">
        <f t="shared" si="60"/>
        <v>0</v>
      </c>
      <c r="L273" s="395">
        <f t="shared" si="61"/>
        <v>0</v>
      </c>
      <c r="M273" s="395">
        <f t="shared" si="62"/>
        <v>0</v>
      </c>
      <c r="N273" s="415"/>
      <c r="O273" s="393">
        <v>69.821607150639906</v>
      </c>
      <c r="P273" s="393">
        <f t="shared" si="58"/>
        <v>60</v>
      </c>
      <c r="Q273" s="393">
        <f t="shared" si="56"/>
        <v>11.68</v>
      </c>
      <c r="R273" s="393">
        <f t="shared" si="57"/>
        <v>141.50160715063993</v>
      </c>
      <c r="S273" s="370"/>
    </row>
    <row r="274" spans="1:22" ht="73.5" outlineLevel="1">
      <c r="A274" s="392" t="s">
        <v>1580</v>
      </c>
      <c r="B274" s="392" t="s">
        <v>1620</v>
      </c>
      <c r="C274" s="392" t="s">
        <v>1059</v>
      </c>
      <c r="D274" s="247" t="s">
        <v>1605</v>
      </c>
      <c r="E274" s="248" t="s">
        <v>1476</v>
      </c>
      <c r="F274" s="248" t="s">
        <v>1446</v>
      </c>
      <c r="G274" s="370" t="s">
        <v>1063</v>
      </c>
      <c r="H274" s="395"/>
      <c r="I274" s="395"/>
      <c r="J274" s="395">
        <f t="shared" si="59"/>
        <v>0</v>
      </c>
      <c r="K274" s="395">
        <f t="shared" si="60"/>
        <v>0</v>
      </c>
      <c r="L274" s="395">
        <f t="shared" si="61"/>
        <v>0</v>
      </c>
      <c r="M274" s="395">
        <f t="shared" si="62"/>
        <v>0</v>
      </c>
      <c r="N274" s="415"/>
      <c r="O274" s="393">
        <v>77.619999609758295</v>
      </c>
      <c r="P274" s="393">
        <f t="shared" si="58"/>
        <v>60</v>
      </c>
      <c r="Q274" s="393">
        <f t="shared" si="56"/>
        <v>12.39</v>
      </c>
      <c r="R274" s="393">
        <f t="shared" si="57"/>
        <v>150.00999960975827</v>
      </c>
      <c r="S274" s="370"/>
    </row>
    <row r="275" spans="1:22" ht="73.5" outlineLevel="1">
      <c r="A275" s="392" t="s">
        <v>1580</v>
      </c>
      <c r="B275" s="392" t="s">
        <v>1621</v>
      </c>
      <c r="C275" s="392" t="s">
        <v>1059</v>
      </c>
      <c r="D275" s="247" t="s">
        <v>1605</v>
      </c>
      <c r="E275" s="248" t="s">
        <v>1478</v>
      </c>
      <c r="F275" s="248" t="s">
        <v>1446</v>
      </c>
      <c r="G275" s="370" t="s">
        <v>1063</v>
      </c>
      <c r="H275" s="395"/>
      <c r="I275" s="395"/>
      <c r="J275" s="395">
        <f t="shared" si="59"/>
        <v>0</v>
      </c>
      <c r="K275" s="395">
        <f t="shared" si="60"/>
        <v>0</v>
      </c>
      <c r="L275" s="395">
        <f t="shared" si="61"/>
        <v>0</v>
      </c>
      <c r="M275" s="395">
        <f t="shared" si="62"/>
        <v>0</v>
      </c>
      <c r="N275" s="415"/>
      <c r="O275" s="393">
        <v>85.418392068876699</v>
      </c>
      <c r="P275" s="393">
        <f t="shared" si="58"/>
        <v>65</v>
      </c>
      <c r="Q275" s="393">
        <f t="shared" si="56"/>
        <v>13.54</v>
      </c>
      <c r="R275" s="393">
        <f t="shared" si="57"/>
        <v>163.95839206887669</v>
      </c>
      <c r="S275" s="370"/>
    </row>
    <row r="276" spans="1:22" ht="73.5" outlineLevel="1">
      <c r="A276" s="392" t="s">
        <v>1580</v>
      </c>
      <c r="B276" s="392" t="s">
        <v>1622</v>
      </c>
      <c r="C276" s="392" t="s">
        <v>1059</v>
      </c>
      <c r="D276" s="247" t="s">
        <v>1605</v>
      </c>
      <c r="E276" s="248" t="s">
        <v>1480</v>
      </c>
      <c r="F276" s="248" t="s">
        <v>1446</v>
      </c>
      <c r="G276" s="370" t="s">
        <v>1063</v>
      </c>
      <c r="H276" s="395"/>
      <c r="I276" s="395"/>
      <c r="J276" s="395">
        <f t="shared" si="59"/>
        <v>0</v>
      </c>
      <c r="K276" s="395">
        <f t="shared" si="60"/>
        <v>0</v>
      </c>
      <c r="L276" s="395">
        <f t="shared" si="61"/>
        <v>0</v>
      </c>
      <c r="M276" s="395">
        <f t="shared" si="62"/>
        <v>0</v>
      </c>
      <c r="N276" s="415"/>
      <c r="O276" s="393">
        <v>79.309651309233899</v>
      </c>
      <c r="P276" s="393">
        <f t="shared" si="58"/>
        <v>78</v>
      </c>
      <c r="Q276" s="393">
        <f t="shared" si="56"/>
        <v>14.16</v>
      </c>
      <c r="R276" s="393">
        <f t="shared" si="57"/>
        <v>171.46965130923391</v>
      </c>
      <c r="S276" s="370"/>
    </row>
    <row r="277" spans="1:22" ht="73.5" outlineLevel="1">
      <c r="A277" s="392" t="s">
        <v>1580</v>
      </c>
      <c r="B277" s="392" t="s">
        <v>1623</v>
      </c>
      <c r="C277" s="392" t="s">
        <v>1059</v>
      </c>
      <c r="D277" s="247" t="s">
        <v>1605</v>
      </c>
      <c r="E277" s="248" t="s">
        <v>1482</v>
      </c>
      <c r="F277" s="248" t="s">
        <v>1446</v>
      </c>
      <c r="G277" s="370" t="s">
        <v>1063</v>
      </c>
      <c r="H277" s="395"/>
      <c r="I277" s="395"/>
      <c r="J277" s="395">
        <f t="shared" si="59"/>
        <v>0</v>
      </c>
      <c r="K277" s="395">
        <f t="shared" si="60"/>
        <v>0</v>
      </c>
      <c r="L277" s="395">
        <f t="shared" si="61"/>
        <v>0</v>
      </c>
      <c r="M277" s="395">
        <f t="shared" si="62"/>
        <v>0</v>
      </c>
      <c r="N277" s="415"/>
      <c r="O277" s="393">
        <v>87.108043768352303</v>
      </c>
      <c r="P277" s="393">
        <f t="shared" si="58"/>
        <v>78</v>
      </c>
      <c r="Q277" s="393">
        <f t="shared" si="56"/>
        <v>14.86</v>
      </c>
      <c r="R277" s="393">
        <f t="shared" si="57"/>
        <v>179.96804376835229</v>
      </c>
      <c r="S277" s="370"/>
    </row>
    <row r="278" spans="1:22" ht="73.5" outlineLevel="1">
      <c r="A278" s="392" t="s">
        <v>1580</v>
      </c>
      <c r="B278" s="392" t="s">
        <v>1624</v>
      </c>
      <c r="C278" s="392" t="s">
        <v>1059</v>
      </c>
      <c r="D278" s="247" t="s">
        <v>1605</v>
      </c>
      <c r="E278" s="248" t="s">
        <v>1484</v>
      </c>
      <c r="F278" s="248" t="s">
        <v>1446</v>
      </c>
      <c r="G278" s="370" t="s">
        <v>1063</v>
      </c>
      <c r="H278" s="395"/>
      <c r="I278" s="395"/>
      <c r="J278" s="395">
        <f t="shared" si="59"/>
        <v>0</v>
      </c>
      <c r="K278" s="395">
        <f t="shared" si="60"/>
        <v>0</v>
      </c>
      <c r="L278" s="395">
        <f t="shared" si="61"/>
        <v>0</v>
      </c>
      <c r="M278" s="395">
        <f t="shared" si="62"/>
        <v>0</v>
      </c>
      <c r="N278" s="415"/>
      <c r="O278" s="393">
        <v>94.906436227470707</v>
      </c>
      <c r="P278" s="393">
        <f t="shared" si="58"/>
        <v>78</v>
      </c>
      <c r="Q278" s="393">
        <f t="shared" si="56"/>
        <v>15.56</v>
      </c>
      <c r="R278" s="393">
        <f t="shared" si="57"/>
        <v>188.46643622747069</v>
      </c>
      <c r="S278" s="370"/>
    </row>
    <row r="279" spans="1:22" ht="73.5" outlineLevel="1">
      <c r="A279" s="392" t="s">
        <v>1580</v>
      </c>
      <c r="B279" s="392" t="s">
        <v>1625</v>
      </c>
      <c r="C279" s="392" t="s">
        <v>1059</v>
      </c>
      <c r="D279" s="247" t="s">
        <v>1605</v>
      </c>
      <c r="E279" s="248" t="s">
        <v>1486</v>
      </c>
      <c r="F279" s="248" t="s">
        <v>1446</v>
      </c>
      <c r="G279" s="370" t="s">
        <v>1063</v>
      </c>
      <c r="H279" s="395"/>
      <c r="I279" s="395"/>
      <c r="J279" s="395">
        <f t="shared" si="59"/>
        <v>0</v>
      </c>
      <c r="K279" s="395">
        <f t="shared" si="60"/>
        <v>0</v>
      </c>
      <c r="L279" s="395">
        <f t="shared" si="61"/>
        <v>0</v>
      </c>
      <c r="M279" s="395">
        <f t="shared" si="62"/>
        <v>0</v>
      </c>
      <c r="N279" s="415"/>
      <c r="O279" s="393">
        <v>113.33663707252001</v>
      </c>
      <c r="P279" s="393">
        <f t="shared" si="58"/>
        <v>100</v>
      </c>
      <c r="Q279" s="393">
        <f t="shared" si="56"/>
        <v>19.2</v>
      </c>
      <c r="R279" s="393">
        <f t="shared" si="57"/>
        <v>232.53663707251999</v>
      </c>
      <c r="S279" s="370"/>
    </row>
    <row r="280" spans="1:22" ht="73.5" outlineLevel="1">
      <c r="A280" s="392" t="s">
        <v>1580</v>
      </c>
      <c r="B280" s="392" t="s">
        <v>1626</v>
      </c>
      <c r="C280" s="392" t="s">
        <v>1059</v>
      </c>
      <c r="D280" s="247" t="s">
        <v>1605</v>
      </c>
      <c r="E280" s="248" t="s">
        <v>1488</v>
      </c>
      <c r="F280" s="248" t="s">
        <v>1446</v>
      </c>
      <c r="G280" s="370" t="s">
        <v>1063</v>
      </c>
      <c r="H280" s="395"/>
      <c r="I280" s="395"/>
      <c r="J280" s="395">
        <f t="shared" si="59"/>
        <v>0</v>
      </c>
      <c r="K280" s="395">
        <f t="shared" si="60"/>
        <v>0</v>
      </c>
      <c r="L280" s="395">
        <f t="shared" si="61"/>
        <v>0</v>
      </c>
      <c r="M280" s="395">
        <f t="shared" si="62"/>
        <v>0</v>
      </c>
      <c r="N280" s="415"/>
      <c r="O280" s="393">
        <v>123.084627646418</v>
      </c>
      <c r="P280" s="393">
        <f t="shared" si="58"/>
        <v>100</v>
      </c>
      <c r="Q280" s="393">
        <f t="shared" si="56"/>
        <v>20.079999999999998</v>
      </c>
      <c r="R280" s="393">
        <f t="shared" si="57"/>
        <v>243.16462764641801</v>
      </c>
      <c r="S280" s="370"/>
    </row>
    <row r="281" spans="1:22">
      <c r="A281" s="392" t="s">
        <v>1051</v>
      </c>
      <c r="B281" s="392" t="s">
        <v>1627</v>
      </c>
      <c r="C281" s="392" t="s">
        <v>1053</v>
      </c>
      <c r="D281" s="394" t="s">
        <v>1628</v>
      </c>
      <c r="E281" s="248"/>
      <c r="F281" s="248"/>
      <c r="G281" s="370"/>
      <c r="H281" s="395"/>
      <c r="I281" s="395"/>
      <c r="J281" s="395">
        <f t="shared" si="59"/>
        <v>0</v>
      </c>
      <c r="K281" s="395">
        <f t="shared" si="60"/>
        <v>0</v>
      </c>
      <c r="L281" s="395">
        <f t="shared" si="61"/>
        <v>0</v>
      </c>
      <c r="M281" s="395">
        <f t="shared" si="62"/>
        <v>0</v>
      </c>
      <c r="N281" s="416"/>
      <c r="O281" s="393"/>
      <c r="P281" s="393"/>
      <c r="Q281" s="393"/>
      <c r="R281" s="393"/>
      <c r="S281" s="370"/>
    </row>
    <row r="282" spans="1:22">
      <c r="A282" s="392" t="s">
        <v>1627</v>
      </c>
      <c r="B282" s="392" t="s">
        <v>1629</v>
      </c>
      <c r="C282" s="392" t="s">
        <v>1056</v>
      </c>
      <c r="D282" s="394" t="s">
        <v>1180</v>
      </c>
      <c r="E282" s="248"/>
      <c r="F282" s="248"/>
      <c r="G282" s="370"/>
      <c r="H282" s="395"/>
      <c r="I282" s="395"/>
      <c r="J282" s="395">
        <f t="shared" si="59"/>
        <v>0</v>
      </c>
      <c r="K282" s="395">
        <f t="shared" si="60"/>
        <v>0</v>
      </c>
      <c r="L282" s="395">
        <f t="shared" si="61"/>
        <v>0</v>
      </c>
      <c r="M282" s="395">
        <f t="shared" si="62"/>
        <v>0</v>
      </c>
      <c r="N282" s="416"/>
      <c r="O282" s="393"/>
      <c r="P282" s="393"/>
      <c r="Q282" s="393"/>
      <c r="R282" s="395"/>
      <c r="S282" s="370"/>
    </row>
    <row r="283" spans="1:22">
      <c r="A283" s="392" t="s">
        <v>1627</v>
      </c>
      <c r="B283" s="392" t="s">
        <v>1630</v>
      </c>
      <c r="C283" s="392" t="s">
        <v>1056</v>
      </c>
      <c r="D283" s="394" t="s">
        <v>1496</v>
      </c>
      <c r="E283" s="248"/>
      <c r="F283" s="248"/>
      <c r="G283" s="370"/>
      <c r="H283" s="395"/>
      <c r="I283" s="395"/>
      <c r="J283" s="395">
        <f t="shared" si="59"/>
        <v>0</v>
      </c>
      <c r="K283" s="395">
        <f t="shared" si="60"/>
        <v>0</v>
      </c>
      <c r="L283" s="395">
        <f t="shared" si="61"/>
        <v>0</v>
      </c>
      <c r="M283" s="395">
        <f t="shared" si="62"/>
        <v>0</v>
      </c>
      <c r="N283" s="416"/>
      <c r="O283" s="393"/>
      <c r="P283" s="393"/>
      <c r="Q283" s="393"/>
      <c r="R283" s="395"/>
      <c r="S283" s="370"/>
    </row>
    <row r="284" spans="1:22" ht="27" outlineLevel="1">
      <c r="A284" s="392" t="s">
        <v>1631</v>
      </c>
      <c r="B284" s="392" t="s">
        <v>1632</v>
      </c>
      <c r="C284" s="392" t="s">
        <v>1059</v>
      </c>
      <c r="D284" s="388" t="s">
        <v>1633</v>
      </c>
      <c r="E284" s="388" t="s">
        <v>1032</v>
      </c>
      <c r="F284" s="388" t="s">
        <v>1634</v>
      </c>
      <c r="G284" s="292" t="s">
        <v>524</v>
      </c>
      <c r="H284" s="395"/>
      <c r="I284" s="395"/>
      <c r="J284" s="395">
        <f t="shared" si="59"/>
        <v>0</v>
      </c>
      <c r="K284" s="395">
        <f t="shared" si="60"/>
        <v>0</v>
      </c>
      <c r="L284" s="395">
        <f t="shared" si="61"/>
        <v>0</v>
      </c>
      <c r="M284" s="395">
        <f t="shared" si="62"/>
        <v>0</v>
      </c>
      <c r="N284" s="415"/>
      <c r="O284" s="393">
        <v>767.241379310345</v>
      </c>
      <c r="P284" s="393">
        <v>55</v>
      </c>
      <c r="Q284" s="393">
        <f t="shared" ref="Q284:Q295" si="63">ROUND((O284+P284)*0.09,2)</f>
        <v>74</v>
      </c>
      <c r="R284" s="393">
        <f t="shared" ref="R284:R295" si="64">P284+O284+Q284</f>
        <v>896.241379310345</v>
      </c>
      <c r="S284" s="370"/>
      <c r="T284" s="40" t="s">
        <v>1635</v>
      </c>
      <c r="U284" s="40"/>
      <c r="V284" s="40"/>
    </row>
    <row r="285" spans="1:22">
      <c r="A285" s="392" t="s">
        <v>1636</v>
      </c>
      <c r="B285" s="392" t="s">
        <v>1637</v>
      </c>
      <c r="C285" s="392" t="s">
        <v>1056</v>
      </c>
      <c r="D285" s="401" t="s">
        <v>1094</v>
      </c>
      <c r="E285" s="248"/>
      <c r="F285" s="248"/>
      <c r="G285" s="370"/>
      <c r="H285" s="395"/>
      <c r="I285" s="395"/>
      <c r="J285" s="395"/>
      <c r="K285" s="395"/>
      <c r="L285" s="395"/>
      <c r="M285" s="395"/>
      <c r="N285" s="416"/>
      <c r="O285" s="393"/>
      <c r="P285" s="393"/>
      <c r="Q285" s="393"/>
      <c r="R285" s="395"/>
      <c r="S285" s="370"/>
    </row>
    <row r="286" spans="1:22" ht="42" outlineLevel="1">
      <c r="A286" s="392" t="s">
        <v>1638</v>
      </c>
      <c r="B286" s="392" t="s">
        <v>1639</v>
      </c>
      <c r="C286" s="392" t="s">
        <v>1059</v>
      </c>
      <c r="D286" s="248" t="s">
        <v>1192</v>
      </c>
      <c r="E286" s="248" t="s">
        <v>1183</v>
      </c>
      <c r="F286" s="248" t="s">
        <v>1193</v>
      </c>
      <c r="G286" s="370" t="s">
        <v>1063</v>
      </c>
      <c r="H286" s="395"/>
      <c r="I286" s="395"/>
      <c r="J286" s="395">
        <f t="shared" si="59"/>
        <v>0</v>
      </c>
      <c r="K286" s="395">
        <f t="shared" si="60"/>
        <v>0</v>
      </c>
      <c r="L286" s="395">
        <f t="shared" si="61"/>
        <v>0</v>
      </c>
      <c r="M286" s="395">
        <f t="shared" si="62"/>
        <v>0</v>
      </c>
      <c r="N286" s="415"/>
      <c r="O286" s="395">
        <f t="shared" ref="O286:O289" si="65">O64</f>
        <v>2.3965517241379302</v>
      </c>
      <c r="P286" s="393">
        <f t="shared" ref="P286:P293" si="66">P68</f>
        <v>6</v>
      </c>
      <c r="Q286" s="393">
        <f t="shared" si="63"/>
        <v>0.76</v>
      </c>
      <c r="R286" s="393">
        <f t="shared" si="64"/>
        <v>9.1565517241379304</v>
      </c>
      <c r="S286" s="370"/>
    </row>
    <row r="287" spans="1:22" ht="42" outlineLevel="1">
      <c r="A287" s="392" t="s">
        <v>1638</v>
      </c>
      <c r="B287" s="392" t="s">
        <v>1640</v>
      </c>
      <c r="C287" s="392" t="s">
        <v>1059</v>
      </c>
      <c r="D287" s="248" t="s">
        <v>1192</v>
      </c>
      <c r="E287" s="248" t="s">
        <v>1195</v>
      </c>
      <c r="F287" s="248" t="s">
        <v>1193</v>
      </c>
      <c r="G287" s="370" t="s">
        <v>1063</v>
      </c>
      <c r="H287" s="395"/>
      <c r="I287" s="395"/>
      <c r="J287" s="395">
        <f t="shared" si="59"/>
        <v>0</v>
      </c>
      <c r="K287" s="395">
        <f t="shared" si="60"/>
        <v>0</v>
      </c>
      <c r="L287" s="395">
        <f t="shared" si="61"/>
        <v>0</v>
      </c>
      <c r="M287" s="395">
        <f t="shared" si="62"/>
        <v>0</v>
      </c>
      <c r="N287" s="415"/>
      <c r="O287" s="395">
        <f t="shared" si="65"/>
        <v>3.4051724137931001</v>
      </c>
      <c r="P287" s="393">
        <f t="shared" si="66"/>
        <v>7</v>
      </c>
      <c r="Q287" s="393">
        <f t="shared" si="63"/>
        <v>0.94</v>
      </c>
      <c r="R287" s="393">
        <f t="shared" si="64"/>
        <v>11.345172413793099</v>
      </c>
      <c r="S287" s="370"/>
    </row>
    <row r="288" spans="1:22" ht="42" outlineLevel="1">
      <c r="A288" s="392" t="s">
        <v>1638</v>
      </c>
      <c r="B288" s="392" t="s">
        <v>1641</v>
      </c>
      <c r="C288" s="392" t="s">
        <v>1059</v>
      </c>
      <c r="D288" s="248" t="s">
        <v>1192</v>
      </c>
      <c r="E288" s="248" t="s">
        <v>1197</v>
      </c>
      <c r="F288" s="248" t="s">
        <v>1193</v>
      </c>
      <c r="G288" s="370" t="s">
        <v>1063</v>
      </c>
      <c r="H288" s="395"/>
      <c r="I288" s="395"/>
      <c r="J288" s="395">
        <f t="shared" si="59"/>
        <v>0</v>
      </c>
      <c r="K288" s="395">
        <f t="shared" si="60"/>
        <v>0</v>
      </c>
      <c r="L288" s="395">
        <f t="shared" si="61"/>
        <v>0</v>
      </c>
      <c r="M288" s="395">
        <f t="shared" si="62"/>
        <v>0</v>
      </c>
      <c r="N288" s="415"/>
      <c r="O288" s="395">
        <f t="shared" si="65"/>
        <v>4.1379310344827598</v>
      </c>
      <c r="P288" s="393">
        <f t="shared" si="66"/>
        <v>7.5</v>
      </c>
      <c r="Q288" s="393">
        <f t="shared" si="63"/>
        <v>1.05</v>
      </c>
      <c r="R288" s="393">
        <f t="shared" si="64"/>
        <v>12.68793103448276</v>
      </c>
      <c r="S288" s="370"/>
    </row>
    <row r="289" spans="1:19" ht="42" outlineLevel="1">
      <c r="A289" s="392" t="s">
        <v>1638</v>
      </c>
      <c r="B289" s="392" t="s">
        <v>1642</v>
      </c>
      <c r="C289" s="392" t="s">
        <v>1059</v>
      </c>
      <c r="D289" s="248" t="s">
        <v>1192</v>
      </c>
      <c r="E289" s="248" t="s">
        <v>1199</v>
      </c>
      <c r="F289" s="248" t="s">
        <v>1193</v>
      </c>
      <c r="G289" s="370" t="s">
        <v>1063</v>
      </c>
      <c r="H289" s="395"/>
      <c r="I289" s="395"/>
      <c r="J289" s="395">
        <f t="shared" si="59"/>
        <v>0</v>
      </c>
      <c r="K289" s="395">
        <f t="shared" si="60"/>
        <v>0</v>
      </c>
      <c r="L289" s="395">
        <f t="shared" si="61"/>
        <v>0</v>
      </c>
      <c r="M289" s="395">
        <f t="shared" si="62"/>
        <v>0</v>
      </c>
      <c r="N289" s="415"/>
      <c r="O289" s="395">
        <f t="shared" si="65"/>
        <v>5.8620689655172402</v>
      </c>
      <c r="P289" s="393">
        <f t="shared" si="66"/>
        <v>8</v>
      </c>
      <c r="Q289" s="393">
        <f t="shared" si="63"/>
        <v>1.25</v>
      </c>
      <c r="R289" s="393">
        <f t="shared" si="64"/>
        <v>15.11206896551724</v>
      </c>
      <c r="S289" s="370"/>
    </row>
    <row r="290" spans="1:19" ht="31.5" outlineLevel="1">
      <c r="A290" s="392" t="s">
        <v>1638</v>
      </c>
      <c r="B290" s="392" t="s">
        <v>1643</v>
      </c>
      <c r="C290" s="392" t="s">
        <v>1059</v>
      </c>
      <c r="D290" s="388" t="s">
        <v>1644</v>
      </c>
      <c r="E290" s="388" t="s">
        <v>1202</v>
      </c>
      <c r="F290" s="248" t="s">
        <v>1203</v>
      </c>
      <c r="G290" s="292" t="s">
        <v>1063</v>
      </c>
      <c r="H290" s="395"/>
      <c r="I290" s="395"/>
      <c r="J290" s="395">
        <f t="shared" si="59"/>
        <v>0</v>
      </c>
      <c r="K290" s="395">
        <f t="shared" si="60"/>
        <v>0</v>
      </c>
      <c r="L290" s="395">
        <f t="shared" si="61"/>
        <v>0</v>
      </c>
      <c r="M290" s="395">
        <f t="shared" si="62"/>
        <v>0</v>
      </c>
      <c r="N290" s="415"/>
      <c r="O290" s="393">
        <f t="shared" ref="O290:O293" si="67">O72</f>
        <v>0.94827586206896597</v>
      </c>
      <c r="P290" s="393">
        <f t="shared" si="66"/>
        <v>6.5</v>
      </c>
      <c r="Q290" s="393">
        <f t="shared" si="63"/>
        <v>0.67</v>
      </c>
      <c r="R290" s="393">
        <f t="shared" si="64"/>
        <v>8.1182758620689661</v>
      </c>
      <c r="S290" s="370"/>
    </row>
    <row r="291" spans="1:19" ht="31.5" outlineLevel="1">
      <c r="A291" s="392" t="s">
        <v>1638</v>
      </c>
      <c r="B291" s="392" t="s">
        <v>1645</v>
      </c>
      <c r="C291" s="392" t="s">
        <v>1059</v>
      </c>
      <c r="D291" s="388" t="s">
        <v>1644</v>
      </c>
      <c r="E291" s="388" t="s">
        <v>1205</v>
      </c>
      <c r="F291" s="248" t="s">
        <v>1203</v>
      </c>
      <c r="G291" s="292" t="s">
        <v>1063</v>
      </c>
      <c r="H291" s="395"/>
      <c r="I291" s="395"/>
      <c r="J291" s="395">
        <f t="shared" si="59"/>
        <v>0</v>
      </c>
      <c r="K291" s="395">
        <f t="shared" si="60"/>
        <v>0</v>
      </c>
      <c r="L291" s="395">
        <f t="shared" si="61"/>
        <v>0</v>
      </c>
      <c r="M291" s="395">
        <f t="shared" si="62"/>
        <v>0</v>
      </c>
      <c r="N291" s="415"/>
      <c r="O291" s="393">
        <f t="shared" si="67"/>
        <v>1.3534482758620701</v>
      </c>
      <c r="P291" s="393">
        <f t="shared" si="66"/>
        <v>7</v>
      </c>
      <c r="Q291" s="393">
        <f t="shared" si="63"/>
        <v>0.75</v>
      </c>
      <c r="R291" s="393">
        <f t="shared" si="64"/>
        <v>9.1034482758620694</v>
      </c>
      <c r="S291" s="370"/>
    </row>
    <row r="292" spans="1:19" ht="31.5" outlineLevel="1">
      <c r="A292" s="392" t="s">
        <v>1638</v>
      </c>
      <c r="B292" s="392" t="s">
        <v>1646</v>
      </c>
      <c r="C292" s="392" t="s">
        <v>1059</v>
      </c>
      <c r="D292" s="388" t="s">
        <v>1644</v>
      </c>
      <c r="E292" s="388" t="s">
        <v>1207</v>
      </c>
      <c r="F292" s="248" t="s">
        <v>1203</v>
      </c>
      <c r="G292" s="292" t="s">
        <v>1063</v>
      </c>
      <c r="H292" s="395"/>
      <c r="I292" s="395"/>
      <c r="J292" s="395">
        <f t="shared" si="59"/>
        <v>0</v>
      </c>
      <c r="K292" s="395">
        <f t="shared" si="60"/>
        <v>0</v>
      </c>
      <c r="L292" s="395">
        <f t="shared" si="61"/>
        <v>0</v>
      </c>
      <c r="M292" s="395">
        <f t="shared" si="62"/>
        <v>0</v>
      </c>
      <c r="N292" s="415"/>
      <c r="O292" s="393">
        <f t="shared" si="67"/>
        <v>2.2155172413793101</v>
      </c>
      <c r="P292" s="393">
        <f t="shared" si="66"/>
        <v>7.2</v>
      </c>
      <c r="Q292" s="393">
        <f t="shared" si="63"/>
        <v>0.85</v>
      </c>
      <c r="R292" s="393">
        <f t="shared" si="64"/>
        <v>10.26551724137931</v>
      </c>
      <c r="S292" s="370"/>
    </row>
    <row r="293" spans="1:19" ht="31.5" outlineLevel="1">
      <c r="A293" s="392" t="s">
        <v>1638</v>
      </c>
      <c r="B293" s="392" t="s">
        <v>1647</v>
      </c>
      <c r="C293" s="392" t="s">
        <v>1059</v>
      </c>
      <c r="D293" s="388" t="s">
        <v>1644</v>
      </c>
      <c r="E293" s="388" t="s">
        <v>1209</v>
      </c>
      <c r="F293" s="248" t="s">
        <v>1203</v>
      </c>
      <c r="G293" s="292" t="s">
        <v>1063</v>
      </c>
      <c r="H293" s="395"/>
      <c r="I293" s="395"/>
      <c r="J293" s="395">
        <f t="shared" si="59"/>
        <v>0</v>
      </c>
      <c r="K293" s="395">
        <f t="shared" si="60"/>
        <v>0</v>
      </c>
      <c r="L293" s="395">
        <f t="shared" si="61"/>
        <v>0</v>
      </c>
      <c r="M293" s="395">
        <f t="shared" si="62"/>
        <v>0</v>
      </c>
      <c r="N293" s="415"/>
      <c r="O293" s="393">
        <f t="shared" si="67"/>
        <v>2.9310344827586201</v>
      </c>
      <c r="P293" s="393">
        <f t="shared" si="66"/>
        <v>8.6</v>
      </c>
      <c r="Q293" s="393">
        <f t="shared" si="63"/>
        <v>1.04</v>
      </c>
      <c r="R293" s="393">
        <f t="shared" si="64"/>
        <v>12.57103448275862</v>
      </c>
      <c r="S293" s="370"/>
    </row>
    <row r="294" spans="1:19" ht="21" outlineLevel="1">
      <c r="A294" s="392" t="s">
        <v>1638</v>
      </c>
      <c r="B294" s="392" t="s">
        <v>1648</v>
      </c>
      <c r="C294" s="392" t="s">
        <v>1059</v>
      </c>
      <c r="D294" s="248" t="s">
        <v>1577</v>
      </c>
      <c r="E294" s="248" t="s">
        <v>1227</v>
      </c>
      <c r="F294" s="248" t="s">
        <v>1228</v>
      </c>
      <c r="G294" s="370" t="s">
        <v>524</v>
      </c>
      <c r="H294" s="395"/>
      <c r="I294" s="395"/>
      <c r="J294" s="395">
        <f t="shared" si="59"/>
        <v>0</v>
      </c>
      <c r="K294" s="395">
        <f t="shared" si="60"/>
        <v>0</v>
      </c>
      <c r="L294" s="395">
        <f t="shared" si="61"/>
        <v>0</v>
      </c>
      <c r="M294" s="395">
        <f t="shared" si="62"/>
        <v>0</v>
      </c>
      <c r="N294" s="415"/>
      <c r="O294" s="393">
        <f>O84</f>
        <v>0.68965517241379304</v>
      </c>
      <c r="P294" s="393">
        <f>P84</f>
        <v>4.5</v>
      </c>
      <c r="Q294" s="393">
        <f t="shared" si="63"/>
        <v>0.47</v>
      </c>
      <c r="R294" s="393">
        <f t="shared" si="64"/>
        <v>5.6596551724137925</v>
      </c>
      <c r="S294" s="370"/>
    </row>
    <row r="295" spans="1:19" ht="21" outlineLevel="1">
      <c r="A295" s="392" t="s">
        <v>1638</v>
      </c>
      <c r="B295" s="392" t="s">
        <v>1649</v>
      </c>
      <c r="C295" s="392" t="s">
        <v>1059</v>
      </c>
      <c r="D295" s="248" t="s">
        <v>1579</v>
      </c>
      <c r="E295" s="248" t="s">
        <v>1227</v>
      </c>
      <c r="F295" s="248" t="s">
        <v>1228</v>
      </c>
      <c r="G295" s="370" t="s">
        <v>524</v>
      </c>
      <c r="H295" s="395"/>
      <c r="I295" s="395"/>
      <c r="J295" s="395">
        <f t="shared" si="59"/>
        <v>0</v>
      </c>
      <c r="K295" s="395">
        <f t="shared" si="60"/>
        <v>0</v>
      </c>
      <c r="L295" s="395">
        <f t="shared" si="61"/>
        <v>0</v>
      </c>
      <c r="M295" s="395">
        <f t="shared" si="62"/>
        <v>0</v>
      </c>
      <c r="N295" s="415"/>
      <c r="O295" s="393">
        <f>O86</f>
        <v>1.72413793103448</v>
      </c>
      <c r="P295" s="393">
        <f>P85</f>
        <v>5</v>
      </c>
      <c r="Q295" s="393">
        <f t="shared" si="63"/>
        <v>0.61</v>
      </c>
      <c r="R295" s="393">
        <f t="shared" si="64"/>
        <v>7.3341379310344808</v>
      </c>
      <c r="S295" s="370"/>
    </row>
    <row r="296" spans="1:19">
      <c r="A296" s="392" t="s">
        <v>1650</v>
      </c>
      <c r="B296" s="392" t="s">
        <v>1651</v>
      </c>
      <c r="C296" s="392" t="s">
        <v>1056</v>
      </c>
      <c r="D296" s="394" t="s">
        <v>1652</v>
      </c>
      <c r="E296" s="248"/>
      <c r="F296" s="248"/>
      <c r="G296" s="370"/>
      <c r="H296" s="395"/>
      <c r="I296" s="395"/>
      <c r="J296" s="395"/>
      <c r="K296" s="395"/>
      <c r="L296" s="395"/>
      <c r="M296" s="395"/>
      <c r="N296" s="416"/>
      <c r="O296" s="393"/>
      <c r="P296" s="393"/>
      <c r="Q296" s="393"/>
      <c r="R296" s="395"/>
      <c r="S296" s="370"/>
    </row>
    <row r="297" spans="1:19" ht="21" outlineLevel="1">
      <c r="A297" s="392" t="s">
        <v>1651</v>
      </c>
      <c r="B297" s="392" t="s">
        <v>1653</v>
      </c>
      <c r="C297" s="392" t="s">
        <v>1059</v>
      </c>
      <c r="D297" s="388" t="s">
        <v>1124</v>
      </c>
      <c r="E297" s="388" t="s">
        <v>1084</v>
      </c>
      <c r="F297" s="248" t="s">
        <v>1126</v>
      </c>
      <c r="G297" s="292" t="s">
        <v>524</v>
      </c>
      <c r="H297" s="395"/>
      <c r="I297" s="395"/>
      <c r="J297" s="395">
        <f t="shared" si="59"/>
        <v>0</v>
      </c>
      <c r="K297" s="395">
        <f t="shared" si="60"/>
        <v>0</v>
      </c>
      <c r="L297" s="395">
        <f t="shared" si="61"/>
        <v>0</v>
      </c>
      <c r="M297" s="395">
        <f t="shared" si="62"/>
        <v>0</v>
      </c>
      <c r="N297" s="415"/>
      <c r="O297" s="393">
        <f t="shared" ref="O297:O301" si="68">O32</f>
        <v>11.1524827586207</v>
      </c>
      <c r="P297" s="393">
        <f t="shared" ref="P297:P301" si="69">P32</f>
        <v>100</v>
      </c>
      <c r="Q297" s="393">
        <f t="shared" ref="Q297:Q314" si="70">ROUND((O297+P297)*0.09,2)</f>
        <v>10</v>
      </c>
      <c r="R297" s="393">
        <f t="shared" ref="R297:R314" si="71">P297+O297+Q297</f>
        <v>121.15248275862069</v>
      </c>
      <c r="S297" s="370"/>
    </row>
    <row r="298" spans="1:19" ht="21" outlineLevel="1">
      <c r="A298" s="392" t="s">
        <v>1651</v>
      </c>
      <c r="B298" s="392" t="s">
        <v>1654</v>
      </c>
      <c r="C298" s="392" t="s">
        <v>1059</v>
      </c>
      <c r="D298" s="388" t="s">
        <v>1124</v>
      </c>
      <c r="E298" s="388" t="s">
        <v>1088</v>
      </c>
      <c r="F298" s="248" t="s">
        <v>1126</v>
      </c>
      <c r="G298" s="292" t="s">
        <v>524</v>
      </c>
      <c r="H298" s="395"/>
      <c r="I298" s="395"/>
      <c r="J298" s="395">
        <f t="shared" si="59"/>
        <v>0</v>
      </c>
      <c r="K298" s="395">
        <f t="shared" si="60"/>
        <v>0</v>
      </c>
      <c r="L298" s="395">
        <f t="shared" si="61"/>
        <v>0</v>
      </c>
      <c r="M298" s="395">
        <f t="shared" si="62"/>
        <v>0</v>
      </c>
      <c r="N298" s="415"/>
      <c r="O298" s="393">
        <f t="shared" si="68"/>
        <v>15.2691379310345</v>
      </c>
      <c r="P298" s="393">
        <f t="shared" si="69"/>
        <v>120</v>
      </c>
      <c r="Q298" s="393">
        <f t="shared" si="70"/>
        <v>12.17</v>
      </c>
      <c r="R298" s="393">
        <f t="shared" si="71"/>
        <v>147.43913793103448</v>
      </c>
      <c r="S298" s="370"/>
    </row>
    <row r="299" spans="1:19" ht="21" outlineLevel="1">
      <c r="A299" s="392" t="s">
        <v>1651</v>
      </c>
      <c r="B299" s="392" t="s">
        <v>1655</v>
      </c>
      <c r="C299" s="392" t="s">
        <v>1059</v>
      </c>
      <c r="D299" s="388" t="s">
        <v>1124</v>
      </c>
      <c r="E299" s="388" t="s">
        <v>1032</v>
      </c>
      <c r="F299" s="248" t="s">
        <v>1126</v>
      </c>
      <c r="G299" s="292" t="s">
        <v>524</v>
      </c>
      <c r="H299" s="395"/>
      <c r="I299" s="395"/>
      <c r="J299" s="395">
        <f t="shared" si="59"/>
        <v>0</v>
      </c>
      <c r="K299" s="395">
        <f t="shared" si="60"/>
        <v>0</v>
      </c>
      <c r="L299" s="395">
        <f t="shared" si="61"/>
        <v>0</v>
      </c>
      <c r="M299" s="395">
        <f t="shared" si="62"/>
        <v>0</v>
      </c>
      <c r="N299" s="415"/>
      <c r="O299" s="393">
        <f t="shared" si="68"/>
        <v>24.847435344827598</v>
      </c>
      <c r="P299" s="393">
        <f t="shared" si="69"/>
        <v>160</v>
      </c>
      <c r="Q299" s="393">
        <f t="shared" si="70"/>
        <v>16.64</v>
      </c>
      <c r="R299" s="393">
        <f t="shared" si="71"/>
        <v>201.48743534482759</v>
      </c>
      <c r="S299" s="370"/>
    </row>
    <row r="300" spans="1:19" ht="21" outlineLevel="1">
      <c r="A300" s="392" t="s">
        <v>1651</v>
      </c>
      <c r="B300" s="392" t="s">
        <v>1656</v>
      </c>
      <c r="C300" s="392" t="s">
        <v>1059</v>
      </c>
      <c r="D300" s="388" t="s">
        <v>1124</v>
      </c>
      <c r="E300" s="388" t="s">
        <v>1033</v>
      </c>
      <c r="F300" s="248" t="s">
        <v>1126</v>
      </c>
      <c r="G300" s="292" t="s">
        <v>524</v>
      </c>
      <c r="H300" s="395"/>
      <c r="I300" s="395"/>
      <c r="J300" s="395">
        <f t="shared" si="59"/>
        <v>0</v>
      </c>
      <c r="K300" s="395">
        <f t="shared" si="60"/>
        <v>0</v>
      </c>
      <c r="L300" s="395">
        <f t="shared" si="61"/>
        <v>0</v>
      </c>
      <c r="M300" s="395">
        <f t="shared" si="62"/>
        <v>0</v>
      </c>
      <c r="N300" s="415"/>
      <c r="O300" s="393">
        <f t="shared" si="68"/>
        <v>41.884206896551703</v>
      </c>
      <c r="P300" s="393">
        <f t="shared" si="69"/>
        <v>180</v>
      </c>
      <c r="Q300" s="393">
        <f t="shared" si="70"/>
        <v>19.97</v>
      </c>
      <c r="R300" s="393">
        <f t="shared" si="71"/>
        <v>241.85420689655169</v>
      </c>
      <c r="S300" s="370"/>
    </row>
    <row r="301" spans="1:19" ht="21" outlineLevel="1">
      <c r="A301" s="392" t="s">
        <v>1651</v>
      </c>
      <c r="B301" s="392" t="s">
        <v>1657</v>
      </c>
      <c r="C301" s="392" t="s">
        <v>1059</v>
      </c>
      <c r="D301" s="388" t="s">
        <v>1124</v>
      </c>
      <c r="E301" s="388" t="s">
        <v>1034</v>
      </c>
      <c r="F301" s="248" t="s">
        <v>1126</v>
      </c>
      <c r="G301" s="292" t="s">
        <v>524</v>
      </c>
      <c r="H301" s="395"/>
      <c r="I301" s="395"/>
      <c r="J301" s="395">
        <f t="shared" si="59"/>
        <v>0</v>
      </c>
      <c r="K301" s="395">
        <f t="shared" si="60"/>
        <v>0</v>
      </c>
      <c r="L301" s="395">
        <f t="shared" si="61"/>
        <v>0</v>
      </c>
      <c r="M301" s="395">
        <f t="shared" si="62"/>
        <v>0</v>
      </c>
      <c r="N301" s="415"/>
      <c r="O301" s="393">
        <f t="shared" si="68"/>
        <v>74.448853448275898</v>
      </c>
      <c r="P301" s="393">
        <f t="shared" si="69"/>
        <v>200</v>
      </c>
      <c r="Q301" s="393">
        <f t="shared" si="70"/>
        <v>24.7</v>
      </c>
      <c r="R301" s="393">
        <f t="shared" si="71"/>
        <v>299.14885344827587</v>
      </c>
      <c r="S301" s="370"/>
    </row>
    <row r="302" spans="1:19" ht="21" outlineLevel="1">
      <c r="A302" s="392" t="s">
        <v>1651</v>
      </c>
      <c r="B302" s="392" t="s">
        <v>1658</v>
      </c>
      <c r="C302" s="392" t="s">
        <v>1059</v>
      </c>
      <c r="D302" s="388" t="s">
        <v>1124</v>
      </c>
      <c r="E302" s="388" t="s">
        <v>1659</v>
      </c>
      <c r="F302" s="248" t="s">
        <v>1126</v>
      </c>
      <c r="G302" s="292" t="s">
        <v>524</v>
      </c>
      <c r="H302" s="395"/>
      <c r="I302" s="395"/>
      <c r="J302" s="395">
        <f t="shared" si="59"/>
        <v>0</v>
      </c>
      <c r="K302" s="395">
        <f t="shared" si="60"/>
        <v>0</v>
      </c>
      <c r="L302" s="395">
        <f t="shared" si="61"/>
        <v>0</v>
      </c>
      <c r="M302" s="395">
        <f t="shared" si="62"/>
        <v>0</v>
      </c>
      <c r="N302" s="415"/>
      <c r="O302" s="393">
        <f>36.283*4.3*0.55</f>
        <v>85.809295000000006</v>
      </c>
      <c r="P302" s="393">
        <v>220</v>
      </c>
      <c r="Q302" s="393">
        <f t="shared" si="70"/>
        <v>27.52</v>
      </c>
      <c r="R302" s="393">
        <f t="shared" si="71"/>
        <v>333.329295</v>
      </c>
      <c r="S302" s="370"/>
    </row>
    <row r="303" spans="1:19" ht="21" outlineLevel="1">
      <c r="A303" s="392" t="s">
        <v>1651</v>
      </c>
      <c r="B303" s="392" t="s">
        <v>1660</v>
      </c>
      <c r="C303" s="392" t="s">
        <v>1059</v>
      </c>
      <c r="D303" s="388" t="s">
        <v>1661</v>
      </c>
      <c r="E303" s="388" t="s">
        <v>1084</v>
      </c>
      <c r="F303" s="248" t="s">
        <v>1126</v>
      </c>
      <c r="G303" s="292" t="s">
        <v>524</v>
      </c>
      <c r="H303" s="395"/>
      <c r="I303" s="395"/>
      <c r="J303" s="395">
        <f t="shared" si="59"/>
        <v>0</v>
      </c>
      <c r="K303" s="395">
        <f t="shared" si="60"/>
        <v>0</v>
      </c>
      <c r="L303" s="395">
        <f t="shared" si="61"/>
        <v>0</v>
      </c>
      <c r="M303" s="395">
        <f t="shared" si="62"/>
        <v>0</v>
      </c>
      <c r="N303" s="415"/>
      <c r="O303" s="393">
        <f t="shared" ref="O303:O305" si="72">O38</f>
        <v>6.0831724137930898</v>
      </c>
      <c r="P303" s="393">
        <f t="shared" ref="P303:P305" si="73">P38</f>
        <v>35</v>
      </c>
      <c r="Q303" s="393">
        <f t="shared" si="70"/>
        <v>3.7</v>
      </c>
      <c r="R303" s="393">
        <f t="shared" si="71"/>
        <v>44.783172413793096</v>
      </c>
      <c r="S303" s="370"/>
    </row>
    <row r="304" spans="1:19" ht="21" outlineLevel="1">
      <c r="A304" s="392" t="s">
        <v>1651</v>
      </c>
      <c r="B304" s="392" t="s">
        <v>1662</v>
      </c>
      <c r="C304" s="392" t="s">
        <v>1059</v>
      </c>
      <c r="D304" s="388" t="s">
        <v>1661</v>
      </c>
      <c r="E304" s="388" t="s">
        <v>1088</v>
      </c>
      <c r="F304" s="248" t="s">
        <v>1126</v>
      </c>
      <c r="G304" s="292" t="s">
        <v>524</v>
      </c>
      <c r="H304" s="395"/>
      <c r="I304" s="395"/>
      <c r="J304" s="395">
        <f t="shared" si="59"/>
        <v>0</v>
      </c>
      <c r="K304" s="395">
        <f t="shared" si="60"/>
        <v>0</v>
      </c>
      <c r="L304" s="395">
        <f t="shared" si="61"/>
        <v>0</v>
      </c>
      <c r="M304" s="395">
        <f t="shared" si="62"/>
        <v>0</v>
      </c>
      <c r="N304" s="415"/>
      <c r="O304" s="393">
        <f t="shared" si="72"/>
        <v>8.3286206896551604</v>
      </c>
      <c r="P304" s="393">
        <f t="shared" si="73"/>
        <v>40</v>
      </c>
      <c r="Q304" s="393">
        <f t="shared" si="70"/>
        <v>4.3499999999999996</v>
      </c>
      <c r="R304" s="393">
        <f t="shared" si="71"/>
        <v>52.678620689655162</v>
      </c>
      <c r="S304" s="370"/>
    </row>
    <row r="305" spans="1:19" ht="21" outlineLevel="1">
      <c r="A305" s="392" t="s">
        <v>1651</v>
      </c>
      <c r="B305" s="392" t="s">
        <v>1663</v>
      </c>
      <c r="C305" s="392" t="s">
        <v>1059</v>
      </c>
      <c r="D305" s="388" t="s">
        <v>1661</v>
      </c>
      <c r="E305" s="388" t="s">
        <v>1032</v>
      </c>
      <c r="F305" s="248" t="s">
        <v>1126</v>
      </c>
      <c r="G305" s="292" t="s">
        <v>524</v>
      </c>
      <c r="H305" s="395"/>
      <c r="I305" s="395"/>
      <c r="J305" s="395">
        <f t="shared" si="59"/>
        <v>0</v>
      </c>
      <c r="K305" s="395">
        <f t="shared" si="60"/>
        <v>0</v>
      </c>
      <c r="L305" s="395">
        <f t="shared" si="61"/>
        <v>0</v>
      </c>
      <c r="M305" s="395">
        <f t="shared" si="62"/>
        <v>0</v>
      </c>
      <c r="N305" s="415"/>
      <c r="O305" s="393">
        <f t="shared" si="72"/>
        <v>13.553146551724099</v>
      </c>
      <c r="P305" s="393">
        <f t="shared" si="73"/>
        <v>60</v>
      </c>
      <c r="Q305" s="393">
        <f t="shared" si="70"/>
        <v>6.62</v>
      </c>
      <c r="R305" s="393">
        <f t="shared" si="71"/>
        <v>80.173146551724102</v>
      </c>
      <c r="S305" s="370"/>
    </row>
    <row r="306" spans="1:19" ht="21" outlineLevel="1">
      <c r="A306" s="392" t="s">
        <v>1651</v>
      </c>
      <c r="B306" s="392" t="s">
        <v>1664</v>
      </c>
      <c r="C306" s="392" t="s">
        <v>1059</v>
      </c>
      <c r="D306" s="388" t="s">
        <v>1661</v>
      </c>
      <c r="E306" s="388" t="s">
        <v>1033</v>
      </c>
      <c r="F306" s="248" t="s">
        <v>1126</v>
      </c>
      <c r="G306" s="292" t="s">
        <v>524</v>
      </c>
      <c r="H306" s="395"/>
      <c r="I306" s="395"/>
      <c r="J306" s="395">
        <f t="shared" si="59"/>
        <v>0</v>
      </c>
      <c r="K306" s="395">
        <f t="shared" si="60"/>
        <v>0</v>
      </c>
      <c r="L306" s="395">
        <f t="shared" si="61"/>
        <v>0</v>
      </c>
      <c r="M306" s="395">
        <f t="shared" si="62"/>
        <v>0</v>
      </c>
      <c r="N306" s="415"/>
      <c r="O306" s="393">
        <v>22.845931034482799</v>
      </c>
      <c r="P306" s="393">
        <v>70</v>
      </c>
      <c r="Q306" s="393">
        <f t="shared" si="70"/>
        <v>8.36</v>
      </c>
      <c r="R306" s="393">
        <f t="shared" si="71"/>
        <v>101.2059310344828</v>
      </c>
      <c r="S306" s="370"/>
    </row>
    <row r="307" spans="1:19" ht="21" outlineLevel="1">
      <c r="A307" s="392" t="s">
        <v>1651</v>
      </c>
      <c r="B307" s="392" t="s">
        <v>1665</v>
      </c>
      <c r="C307" s="392" t="s">
        <v>1059</v>
      </c>
      <c r="D307" s="388" t="s">
        <v>1666</v>
      </c>
      <c r="E307" s="388" t="s">
        <v>1029</v>
      </c>
      <c r="F307" s="388" t="s">
        <v>1667</v>
      </c>
      <c r="G307" s="292" t="s">
        <v>524</v>
      </c>
      <c r="H307" s="395"/>
      <c r="I307" s="395"/>
      <c r="J307" s="395">
        <f t="shared" si="59"/>
        <v>0</v>
      </c>
      <c r="K307" s="395">
        <f t="shared" si="60"/>
        <v>0</v>
      </c>
      <c r="L307" s="395">
        <f t="shared" si="61"/>
        <v>0</v>
      </c>
      <c r="M307" s="395">
        <f t="shared" si="62"/>
        <v>0</v>
      </c>
      <c r="N307" s="415"/>
      <c r="O307" s="393"/>
      <c r="P307" s="393">
        <v>6.5</v>
      </c>
      <c r="Q307" s="393">
        <f t="shared" si="70"/>
        <v>0.59</v>
      </c>
      <c r="R307" s="393">
        <f t="shared" si="71"/>
        <v>7.09</v>
      </c>
      <c r="S307" s="370"/>
    </row>
    <row r="308" spans="1:19" outlineLevel="1">
      <c r="A308" s="392" t="s">
        <v>1651</v>
      </c>
      <c r="B308" s="392" t="s">
        <v>1668</v>
      </c>
      <c r="C308" s="392" t="s">
        <v>1059</v>
      </c>
      <c r="D308" s="388" t="s">
        <v>1666</v>
      </c>
      <c r="E308" s="388" t="s">
        <v>1032</v>
      </c>
      <c r="F308" s="388" t="s">
        <v>1667</v>
      </c>
      <c r="G308" s="292" t="s">
        <v>524</v>
      </c>
      <c r="H308" s="395"/>
      <c r="I308" s="395"/>
      <c r="J308" s="395">
        <f t="shared" si="59"/>
        <v>0</v>
      </c>
      <c r="K308" s="395">
        <f t="shared" si="60"/>
        <v>0</v>
      </c>
      <c r="L308" s="395">
        <f t="shared" si="61"/>
        <v>0</v>
      </c>
      <c r="M308" s="395">
        <f t="shared" si="62"/>
        <v>0</v>
      </c>
      <c r="N308" s="415"/>
      <c r="O308" s="393"/>
      <c r="P308" s="393">
        <v>7.5</v>
      </c>
      <c r="Q308" s="393">
        <f t="shared" si="70"/>
        <v>0.68</v>
      </c>
      <c r="R308" s="393">
        <f t="shared" si="71"/>
        <v>8.18</v>
      </c>
      <c r="S308" s="370"/>
    </row>
    <row r="309" spans="1:19" outlineLevel="1">
      <c r="A309" s="392" t="s">
        <v>1651</v>
      </c>
      <c r="B309" s="392" t="s">
        <v>1669</v>
      </c>
      <c r="C309" s="392" t="s">
        <v>1059</v>
      </c>
      <c r="D309" s="388" t="s">
        <v>1666</v>
      </c>
      <c r="E309" s="388" t="s">
        <v>1033</v>
      </c>
      <c r="F309" s="388" t="s">
        <v>1667</v>
      </c>
      <c r="G309" s="292" t="s">
        <v>524</v>
      </c>
      <c r="H309" s="395"/>
      <c r="I309" s="395"/>
      <c r="J309" s="395">
        <f t="shared" si="59"/>
        <v>0</v>
      </c>
      <c r="K309" s="395">
        <f t="shared" si="60"/>
        <v>0</v>
      </c>
      <c r="L309" s="395">
        <f t="shared" si="61"/>
        <v>0</v>
      </c>
      <c r="M309" s="395">
        <f t="shared" si="62"/>
        <v>0</v>
      </c>
      <c r="N309" s="415"/>
      <c r="O309" s="393"/>
      <c r="P309" s="393">
        <v>12</v>
      </c>
      <c r="Q309" s="393">
        <f t="shared" si="70"/>
        <v>1.08</v>
      </c>
      <c r="R309" s="393">
        <f t="shared" si="71"/>
        <v>13.08</v>
      </c>
      <c r="S309" s="370"/>
    </row>
    <row r="310" spans="1:19" outlineLevel="1">
      <c r="A310" s="392" t="s">
        <v>1651</v>
      </c>
      <c r="B310" s="392" t="s">
        <v>1670</v>
      </c>
      <c r="C310" s="392" t="s">
        <v>1059</v>
      </c>
      <c r="D310" s="388" t="s">
        <v>1666</v>
      </c>
      <c r="E310" s="388" t="s">
        <v>1034</v>
      </c>
      <c r="F310" s="388" t="s">
        <v>1667</v>
      </c>
      <c r="G310" s="292" t="s">
        <v>524</v>
      </c>
      <c r="H310" s="395"/>
      <c r="I310" s="395"/>
      <c r="J310" s="395">
        <f t="shared" si="59"/>
        <v>0</v>
      </c>
      <c r="K310" s="395">
        <f t="shared" si="60"/>
        <v>0</v>
      </c>
      <c r="L310" s="395">
        <f t="shared" si="61"/>
        <v>0</v>
      </c>
      <c r="M310" s="395">
        <f t="shared" si="62"/>
        <v>0</v>
      </c>
      <c r="N310" s="415"/>
      <c r="O310" s="393"/>
      <c r="P310" s="393">
        <v>15.5</v>
      </c>
      <c r="Q310" s="393">
        <f t="shared" si="70"/>
        <v>1.4</v>
      </c>
      <c r="R310" s="393">
        <f t="shared" si="71"/>
        <v>16.899999999999999</v>
      </c>
      <c r="S310" s="370"/>
    </row>
    <row r="311" spans="1:19" ht="21" outlineLevel="1">
      <c r="A311" s="392" t="s">
        <v>1651</v>
      </c>
      <c r="B311" s="392" t="s">
        <v>1671</v>
      </c>
      <c r="C311" s="392" t="s">
        <v>1059</v>
      </c>
      <c r="D311" s="388" t="s">
        <v>1672</v>
      </c>
      <c r="E311" s="388" t="s">
        <v>1029</v>
      </c>
      <c r="F311" s="388" t="s">
        <v>1030</v>
      </c>
      <c r="G311" s="292" t="s">
        <v>524</v>
      </c>
      <c r="H311" s="395"/>
      <c r="I311" s="395"/>
      <c r="J311" s="395">
        <f t="shared" si="59"/>
        <v>0</v>
      </c>
      <c r="K311" s="395">
        <f t="shared" si="60"/>
        <v>0</v>
      </c>
      <c r="L311" s="395">
        <f t="shared" si="61"/>
        <v>0</v>
      </c>
      <c r="M311" s="395">
        <f t="shared" si="62"/>
        <v>0</v>
      </c>
      <c r="N311" s="415"/>
      <c r="O311" s="393"/>
      <c r="P311" s="393">
        <v>11</v>
      </c>
      <c r="Q311" s="393">
        <f t="shared" si="70"/>
        <v>0.99</v>
      </c>
      <c r="R311" s="393">
        <f t="shared" si="71"/>
        <v>11.99</v>
      </c>
      <c r="S311" s="370"/>
    </row>
    <row r="312" spans="1:19" outlineLevel="1">
      <c r="A312" s="392" t="s">
        <v>1651</v>
      </c>
      <c r="B312" s="392" t="s">
        <v>1673</v>
      </c>
      <c r="C312" s="392" t="s">
        <v>1059</v>
      </c>
      <c r="D312" s="388" t="s">
        <v>1672</v>
      </c>
      <c r="E312" s="388" t="s">
        <v>1032</v>
      </c>
      <c r="F312" s="388" t="s">
        <v>1030</v>
      </c>
      <c r="G312" s="292" t="s">
        <v>524</v>
      </c>
      <c r="H312" s="395"/>
      <c r="I312" s="395"/>
      <c r="J312" s="395">
        <f t="shared" si="59"/>
        <v>0</v>
      </c>
      <c r="K312" s="395">
        <f t="shared" si="60"/>
        <v>0</v>
      </c>
      <c r="L312" s="395">
        <f t="shared" si="61"/>
        <v>0</v>
      </c>
      <c r="M312" s="395">
        <f t="shared" si="62"/>
        <v>0</v>
      </c>
      <c r="N312" s="415"/>
      <c r="O312" s="393"/>
      <c r="P312" s="393">
        <v>14</v>
      </c>
      <c r="Q312" s="393">
        <f t="shared" si="70"/>
        <v>1.26</v>
      </c>
      <c r="R312" s="393">
        <f t="shared" si="71"/>
        <v>15.26</v>
      </c>
      <c r="S312" s="370"/>
    </row>
    <row r="313" spans="1:19" outlineLevel="1">
      <c r="A313" s="392" t="s">
        <v>1651</v>
      </c>
      <c r="B313" s="392" t="s">
        <v>1674</v>
      </c>
      <c r="C313" s="392" t="s">
        <v>1059</v>
      </c>
      <c r="D313" s="388" t="s">
        <v>1672</v>
      </c>
      <c r="E313" s="388" t="s">
        <v>1033</v>
      </c>
      <c r="F313" s="388" t="s">
        <v>1030</v>
      </c>
      <c r="G313" s="292" t="s">
        <v>524</v>
      </c>
      <c r="H313" s="395"/>
      <c r="I313" s="395"/>
      <c r="J313" s="395">
        <f t="shared" si="59"/>
        <v>0</v>
      </c>
      <c r="K313" s="395">
        <f t="shared" si="60"/>
        <v>0</v>
      </c>
      <c r="L313" s="395">
        <f t="shared" si="61"/>
        <v>0</v>
      </c>
      <c r="M313" s="395">
        <f t="shared" si="62"/>
        <v>0</v>
      </c>
      <c r="N313" s="415"/>
      <c r="O313" s="393"/>
      <c r="P313" s="393">
        <v>16</v>
      </c>
      <c r="Q313" s="393">
        <f t="shared" si="70"/>
        <v>1.44</v>
      </c>
      <c r="R313" s="393">
        <f t="shared" si="71"/>
        <v>17.440000000000001</v>
      </c>
      <c r="S313" s="370"/>
    </row>
    <row r="314" spans="1:19" outlineLevel="1">
      <c r="A314" s="392" t="s">
        <v>1651</v>
      </c>
      <c r="B314" s="392" t="s">
        <v>1675</v>
      </c>
      <c r="C314" s="392" t="s">
        <v>1059</v>
      </c>
      <c r="D314" s="388" t="s">
        <v>1672</v>
      </c>
      <c r="E314" s="388" t="s">
        <v>1034</v>
      </c>
      <c r="F314" s="388" t="s">
        <v>1030</v>
      </c>
      <c r="G314" s="292" t="s">
        <v>524</v>
      </c>
      <c r="H314" s="395"/>
      <c r="I314" s="395"/>
      <c r="J314" s="395">
        <f t="shared" si="59"/>
        <v>0</v>
      </c>
      <c r="K314" s="395">
        <f t="shared" si="60"/>
        <v>0</v>
      </c>
      <c r="L314" s="395">
        <f t="shared" si="61"/>
        <v>0</v>
      </c>
      <c r="M314" s="395">
        <f t="shared" si="62"/>
        <v>0</v>
      </c>
      <c r="N314" s="415"/>
      <c r="O314" s="393"/>
      <c r="P314" s="393">
        <v>18.5</v>
      </c>
      <c r="Q314" s="393">
        <f t="shared" si="70"/>
        <v>1.67</v>
      </c>
      <c r="R314" s="393">
        <f t="shared" si="71"/>
        <v>20.170000000000002</v>
      </c>
      <c r="S314" s="370"/>
    </row>
    <row r="315" spans="1:19">
      <c r="A315" s="370" t="str">
        <f>IF(G315="","",COUNTA(G$4:G315))</f>
        <v/>
      </c>
      <c r="B315" s="370"/>
      <c r="C315" s="392">
        <v>1</v>
      </c>
      <c r="D315" s="394" t="s">
        <v>1676</v>
      </c>
      <c r="E315" s="248"/>
      <c r="F315" s="248"/>
      <c r="G315" s="370"/>
      <c r="H315" s="395"/>
      <c r="I315" s="395"/>
      <c r="J315" s="395"/>
      <c r="K315" s="395"/>
      <c r="L315" s="395"/>
      <c r="M315" s="395"/>
      <c r="N315" s="416"/>
      <c r="O315" s="393"/>
      <c r="P315" s="393"/>
      <c r="Q315" s="393"/>
      <c r="R315" s="393"/>
      <c r="S315" s="370"/>
    </row>
    <row r="316" spans="1:19" outlineLevel="1">
      <c r="A316" s="370" t="str">
        <f>IF(G316="","",COUNTA(G$4:G316))</f>
        <v/>
      </c>
      <c r="B316" s="370"/>
      <c r="C316" s="370"/>
      <c r="D316" s="248"/>
      <c r="E316" s="248"/>
      <c r="F316" s="248"/>
      <c r="G316" s="370"/>
      <c r="H316" s="395"/>
      <c r="I316" s="395"/>
      <c r="J316" s="395"/>
      <c r="K316" s="395"/>
      <c r="L316" s="395"/>
      <c r="M316" s="395"/>
      <c r="N316" s="416"/>
      <c r="O316" s="393"/>
      <c r="P316" s="393"/>
      <c r="Q316" s="393">
        <f t="shared" ref="Q316:Q324" si="74">ROUND((O316+P316)*0.09,2)</f>
        <v>0</v>
      </c>
      <c r="R316" s="393">
        <f t="shared" ref="R316:R324" si="75">P316+O316+Q316</f>
        <v>0</v>
      </c>
      <c r="S316" s="370"/>
    </row>
    <row r="317" spans="1:19" outlineLevel="1">
      <c r="A317" s="370" t="str">
        <f>IF(G317="","",COUNTA(G$4:G317))</f>
        <v/>
      </c>
      <c r="B317" s="370"/>
      <c r="C317" s="370"/>
      <c r="D317" s="248"/>
      <c r="E317" s="248"/>
      <c r="F317" s="248"/>
      <c r="G317" s="370"/>
      <c r="H317" s="395"/>
      <c r="I317" s="395"/>
      <c r="J317" s="395"/>
      <c r="K317" s="395"/>
      <c r="L317" s="395"/>
      <c r="M317" s="395"/>
      <c r="N317" s="416"/>
      <c r="O317" s="393"/>
      <c r="P317" s="393"/>
      <c r="Q317" s="393">
        <f t="shared" si="74"/>
        <v>0</v>
      </c>
      <c r="R317" s="393">
        <f t="shared" si="75"/>
        <v>0</v>
      </c>
      <c r="S317" s="370"/>
    </row>
    <row r="318" spans="1:19" ht="21">
      <c r="A318" s="392" t="s">
        <v>1051</v>
      </c>
      <c r="B318" s="392" t="s">
        <v>1677</v>
      </c>
      <c r="C318" s="392" t="s">
        <v>1053</v>
      </c>
      <c r="D318" s="402" t="s">
        <v>1678</v>
      </c>
      <c r="E318" s="403"/>
      <c r="F318" s="404"/>
      <c r="G318" s="370"/>
      <c r="H318" s="395"/>
      <c r="I318" s="395"/>
      <c r="J318" s="395"/>
      <c r="K318" s="395"/>
      <c r="L318" s="395"/>
      <c r="M318" s="395"/>
      <c r="N318" s="416"/>
      <c r="O318" s="370"/>
      <c r="P318" s="370"/>
      <c r="Q318" s="393"/>
      <c r="R318" s="393"/>
      <c r="S318" s="370"/>
    </row>
    <row r="319" spans="1:19">
      <c r="A319" s="392" t="s">
        <v>1677</v>
      </c>
      <c r="B319" s="392" t="s">
        <v>1679</v>
      </c>
      <c r="C319" s="392" t="s">
        <v>1056</v>
      </c>
      <c r="D319" s="394" t="s">
        <v>1057</v>
      </c>
      <c r="E319" s="248"/>
      <c r="F319" s="248"/>
      <c r="G319" s="370"/>
      <c r="H319" s="395"/>
      <c r="I319" s="395"/>
      <c r="J319" s="395"/>
      <c r="K319" s="395"/>
      <c r="L319" s="395"/>
      <c r="M319" s="395"/>
      <c r="N319" s="416"/>
      <c r="O319" s="395"/>
      <c r="P319" s="395"/>
      <c r="Q319" s="395"/>
      <c r="R319" s="395"/>
      <c r="S319" s="370"/>
    </row>
    <row r="320" spans="1:19" ht="52.5" outlineLevel="1">
      <c r="A320" s="392" t="s">
        <v>1679</v>
      </c>
      <c r="B320" s="392" t="s">
        <v>1680</v>
      </c>
      <c r="C320" s="392" t="s">
        <v>1059</v>
      </c>
      <c r="D320" s="248" t="s">
        <v>1060</v>
      </c>
      <c r="E320" s="248" t="s">
        <v>1066</v>
      </c>
      <c r="F320" s="248" t="s">
        <v>1062</v>
      </c>
      <c r="G320" s="370" t="s">
        <v>1063</v>
      </c>
      <c r="H320" s="395"/>
      <c r="I320" s="395"/>
      <c r="J320" s="395">
        <f t="shared" si="59"/>
        <v>0</v>
      </c>
      <c r="K320" s="395">
        <f t="shared" si="60"/>
        <v>0</v>
      </c>
      <c r="L320" s="395">
        <f t="shared" si="61"/>
        <v>0</v>
      </c>
      <c r="M320" s="395">
        <f t="shared" si="62"/>
        <v>0</v>
      </c>
      <c r="N320" s="415"/>
      <c r="O320" s="405">
        <v>3.0344827586206899</v>
      </c>
      <c r="P320" s="393">
        <f>P6</f>
        <v>12</v>
      </c>
      <c r="Q320" s="393">
        <f t="shared" si="74"/>
        <v>1.35</v>
      </c>
      <c r="R320" s="393">
        <f t="shared" si="75"/>
        <v>16.384482758620692</v>
      </c>
      <c r="S320" s="370"/>
    </row>
    <row r="321" spans="1:19" ht="52.5" outlineLevel="1">
      <c r="A321" s="392" t="s">
        <v>1679</v>
      </c>
      <c r="B321" s="392" t="s">
        <v>1681</v>
      </c>
      <c r="C321" s="392" t="s">
        <v>1059</v>
      </c>
      <c r="D321" s="248" t="s">
        <v>1060</v>
      </c>
      <c r="E321" s="248" t="s">
        <v>1068</v>
      </c>
      <c r="F321" s="248" t="s">
        <v>1062</v>
      </c>
      <c r="G321" s="370" t="s">
        <v>1063</v>
      </c>
      <c r="H321" s="395"/>
      <c r="I321" s="395"/>
      <c r="J321" s="395">
        <f t="shared" si="59"/>
        <v>0</v>
      </c>
      <c r="K321" s="395">
        <f t="shared" si="60"/>
        <v>0</v>
      </c>
      <c r="L321" s="395">
        <f t="shared" si="61"/>
        <v>0</v>
      </c>
      <c r="M321" s="395">
        <f t="shared" si="62"/>
        <v>0</v>
      </c>
      <c r="N321" s="415"/>
      <c r="O321" s="405">
        <v>4.8426724137930997</v>
      </c>
      <c r="P321" s="393">
        <f t="shared" ref="P321:P324" si="76">P8</f>
        <v>18</v>
      </c>
      <c r="Q321" s="393">
        <f t="shared" si="74"/>
        <v>2.06</v>
      </c>
      <c r="R321" s="393">
        <f t="shared" si="75"/>
        <v>24.902672413793098</v>
      </c>
      <c r="S321" s="370"/>
    </row>
    <row r="322" spans="1:19" ht="52.5" outlineLevel="1">
      <c r="A322" s="392" t="s">
        <v>1679</v>
      </c>
      <c r="B322" s="392" t="s">
        <v>1682</v>
      </c>
      <c r="C322" s="392" t="s">
        <v>1059</v>
      </c>
      <c r="D322" s="248" t="s">
        <v>1060</v>
      </c>
      <c r="E322" s="248" t="s">
        <v>1070</v>
      </c>
      <c r="F322" s="248" t="s">
        <v>1062</v>
      </c>
      <c r="G322" s="370" t="s">
        <v>1063</v>
      </c>
      <c r="H322" s="395"/>
      <c r="I322" s="395"/>
      <c r="J322" s="395">
        <f t="shared" si="59"/>
        <v>0</v>
      </c>
      <c r="K322" s="395">
        <f t="shared" si="60"/>
        <v>0</v>
      </c>
      <c r="L322" s="395">
        <f t="shared" si="61"/>
        <v>0</v>
      </c>
      <c r="M322" s="395">
        <f t="shared" si="62"/>
        <v>0</v>
      </c>
      <c r="N322" s="415"/>
      <c r="O322" s="405">
        <v>7.97456896551724</v>
      </c>
      <c r="P322" s="393">
        <f t="shared" si="76"/>
        <v>18.5</v>
      </c>
      <c r="Q322" s="393">
        <f t="shared" si="74"/>
        <v>2.38</v>
      </c>
      <c r="R322" s="393">
        <f t="shared" si="75"/>
        <v>28.854568965517238</v>
      </c>
      <c r="S322" s="370"/>
    </row>
    <row r="323" spans="1:19" ht="52.5" outlineLevel="1">
      <c r="A323" s="392" t="s">
        <v>1679</v>
      </c>
      <c r="B323" s="392" t="s">
        <v>1683</v>
      </c>
      <c r="C323" s="392" t="s">
        <v>1059</v>
      </c>
      <c r="D323" s="248" t="s">
        <v>1060</v>
      </c>
      <c r="E323" s="248" t="s">
        <v>1072</v>
      </c>
      <c r="F323" s="248" t="s">
        <v>1062</v>
      </c>
      <c r="G323" s="370" t="s">
        <v>1063</v>
      </c>
      <c r="H323" s="395"/>
      <c r="I323" s="395"/>
      <c r="J323" s="395">
        <f t="shared" si="59"/>
        <v>0</v>
      </c>
      <c r="K323" s="395">
        <f t="shared" si="60"/>
        <v>0</v>
      </c>
      <c r="L323" s="395">
        <f t="shared" si="61"/>
        <v>0</v>
      </c>
      <c r="M323" s="395">
        <f t="shared" si="62"/>
        <v>0</v>
      </c>
      <c r="N323" s="415"/>
      <c r="O323" s="405">
        <v>12.3965517241379</v>
      </c>
      <c r="P323" s="393">
        <f t="shared" si="76"/>
        <v>22</v>
      </c>
      <c r="Q323" s="393">
        <f t="shared" si="74"/>
        <v>3.1</v>
      </c>
      <c r="R323" s="393">
        <f t="shared" si="75"/>
        <v>37.496551724137902</v>
      </c>
      <c r="S323" s="370"/>
    </row>
    <row r="324" spans="1:19" ht="52.5" outlineLevel="1">
      <c r="A324" s="392" t="s">
        <v>1679</v>
      </c>
      <c r="B324" s="392" t="s">
        <v>1684</v>
      </c>
      <c r="C324" s="392" t="s">
        <v>1059</v>
      </c>
      <c r="D324" s="248" t="s">
        <v>1060</v>
      </c>
      <c r="E324" s="248" t="s">
        <v>1074</v>
      </c>
      <c r="F324" s="248" t="s">
        <v>1062</v>
      </c>
      <c r="G324" s="370" t="s">
        <v>1063</v>
      </c>
      <c r="H324" s="395"/>
      <c r="I324" s="395"/>
      <c r="J324" s="395">
        <f t="shared" si="59"/>
        <v>0</v>
      </c>
      <c r="K324" s="395">
        <f t="shared" si="60"/>
        <v>0</v>
      </c>
      <c r="L324" s="395">
        <f t="shared" si="61"/>
        <v>0</v>
      </c>
      <c r="M324" s="395">
        <f t="shared" si="62"/>
        <v>0</v>
      </c>
      <c r="N324" s="415"/>
      <c r="O324" s="405">
        <v>19.767241379310299</v>
      </c>
      <c r="P324" s="393">
        <f t="shared" si="76"/>
        <v>26</v>
      </c>
      <c r="Q324" s="393">
        <f t="shared" si="74"/>
        <v>4.12</v>
      </c>
      <c r="R324" s="393">
        <f t="shared" si="75"/>
        <v>49.887241379310296</v>
      </c>
      <c r="S324" s="370"/>
    </row>
    <row r="325" spans="1:19">
      <c r="A325" s="392" t="s">
        <v>1677</v>
      </c>
      <c r="B325" s="392" t="s">
        <v>1685</v>
      </c>
      <c r="C325" s="392" t="s">
        <v>1056</v>
      </c>
      <c r="D325" s="394" t="s">
        <v>1081</v>
      </c>
      <c r="E325" s="248"/>
      <c r="F325" s="248"/>
      <c r="G325" s="370"/>
      <c r="H325" s="395"/>
      <c r="I325" s="395"/>
      <c r="J325" s="395"/>
      <c r="K325" s="395"/>
      <c r="L325" s="395"/>
      <c r="M325" s="395"/>
      <c r="N325" s="416"/>
      <c r="O325" s="393"/>
      <c r="P325" s="393"/>
      <c r="Q325" s="393"/>
      <c r="R325" s="395"/>
      <c r="S325" s="370"/>
    </row>
    <row r="326" spans="1:19" ht="52.5" outlineLevel="1">
      <c r="A326" s="392" t="s">
        <v>1685</v>
      </c>
      <c r="B326" s="392" t="s">
        <v>1686</v>
      </c>
      <c r="C326" s="392" t="s">
        <v>1059</v>
      </c>
      <c r="D326" s="248" t="s">
        <v>1687</v>
      </c>
      <c r="E326" s="248" t="s">
        <v>1084</v>
      </c>
      <c r="F326" s="248" t="s">
        <v>2108</v>
      </c>
      <c r="G326" s="370" t="s">
        <v>1063</v>
      </c>
      <c r="H326" s="395">
        <f>755.78+154.68+1735.95</f>
        <v>2646.41</v>
      </c>
      <c r="I326" s="395">
        <v>59.59</v>
      </c>
      <c r="J326" s="395">
        <f t="shared" ref="J326:J389" si="77">H326*R326</f>
        <v>58592.429955172425</v>
      </c>
      <c r="K326" s="395">
        <f t="shared" ref="K326:K389" si="78">H326*R326*(1+N326)</f>
        <v>58592.429955172425</v>
      </c>
      <c r="L326" s="395">
        <f t="shared" ref="L326:L389" si="79">I326*R326</f>
        <v>1319.3431482758624</v>
      </c>
      <c r="M326" s="395">
        <f t="shared" ref="M326:M389" si="80">I326*R326*(1+N326)</f>
        <v>1319.3431482758624</v>
      </c>
      <c r="N326" s="415"/>
      <c r="O326" s="405">
        <v>4.31034482758621</v>
      </c>
      <c r="P326" s="393">
        <v>16</v>
      </c>
      <c r="Q326" s="393">
        <f t="shared" ref="Q326:Q341" si="81">ROUND((O326+P326)*0.09,2)</f>
        <v>1.83</v>
      </c>
      <c r="R326" s="393">
        <f t="shared" ref="R326:R341" si="82">P326+O326+Q326</f>
        <v>22.140344827586212</v>
      </c>
      <c r="S326" s="370"/>
    </row>
    <row r="327" spans="1:19" ht="52.5" outlineLevel="1">
      <c r="A327" s="392" t="s">
        <v>1685</v>
      </c>
      <c r="B327" s="392" t="s">
        <v>1688</v>
      </c>
      <c r="C327" s="392" t="s">
        <v>1059</v>
      </c>
      <c r="D327" s="248" t="s">
        <v>1687</v>
      </c>
      <c r="E327" s="248" t="s">
        <v>1128</v>
      </c>
      <c r="F327" s="248" t="s">
        <v>2108</v>
      </c>
      <c r="G327" s="370" t="s">
        <v>1063</v>
      </c>
      <c r="H327" s="395">
        <f>798.09+450.28+5590.77</f>
        <v>6839.14</v>
      </c>
      <c r="I327" s="395">
        <v>77.150000000000006</v>
      </c>
      <c r="J327" s="395">
        <f t="shared" si="77"/>
        <v>214727.77108275864</v>
      </c>
      <c r="K327" s="395">
        <f t="shared" si="78"/>
        <v>214727.77108275864</v>
      </c>
      <c r="L327" s="395">
        <f t="shared" si="79"/>
        <v>2422.2705689655177</v>
      </c>
      <c r="M327" s="395">
        <f t="shared" si="80"/>
        <v>2422.2705689655177</v>
      </c>
      <c r="N327" s="415"/>
      <c r="O327" s="405">
        <v>6.8068965517241402</v>
      </c>
      <c r="P327" s="393">
        <v>22</v>
      </c>
      <c r="Q327" s="393">
        <f t="shared" si="81"/>
        <v>2.59</v>
      </c>
      <c r="R327" s="393">
        <f t="shared" si="82"/>
        <v>31.39689655172414</v>
      </c>
      <c r="S327" s="370"/>
    </row>
    <row r="328" spans="1:19" ht="52.5" outlineLevel="1">
      <c r="A328" s="392" t="s">
        <v>1685</v>
      </c>
      <c r="B328" s="392" t="s">
        <v>1689</v>
      </c>
      <c r="C328" s="392" t="s">
        <v>1059</v>
      </c>
      <c r="D328" s="248" t="s">
        <v>1687</v>
      </c>
      <c r="E328" s="248" t="s">
        <v>1032</v>
      </c>
      <c r="F328" s="248" t="s">
        <v>2109</v>
      </c>
      <c r="G328" s="370" t="s">
        <v>1063</v>
      </c>
      <c r="H328" s="395">
        <v>11914.95</v>
      </c>
      <c r="I328" s="395">
        <v>85.78</v>
      </c>
      <c r="J328" s="395">
        <f t="shared" si="77"/>
        <v>538219.86166810361</v>
      </c>
      <c r="K328" s="395">
        <f t="shared" si="78"/>
        <v>538219.86166810361</v>
      </c>
      <c r="L328" s="395">
        <f t="shared" si="79"/>
        <v>3874.8378913793113</v>
      </c>
      <c r="M328" s="395">
        <f t="shared" si="80"/>
        <v>3874.8378913793113</v>
      </c>
      <c r="N328" s="415"/>
      <c r="O328" s="405">
        <v>13.4418103448276</v>
      </c>
      <c r="P328" s="393">
        <v>28</v>
      </c>
      <c r="Q328" s="393">
        <f t="shared" si="81"/>
        <v>3.73</v>
      </c>
      <c r="R328" s="393">
        <f t="shared" si="82"/>
        <v>45.171810344827598</v>
      </c>
      <c r="S328" s="370"/>
    </row>
    <row r="329" spans="1:19" ht="52.5" outlineLevel="1">
      <c r="A329" s="392" t="s">
        <v>1685</v>
      </c>
      <c r="B329" s="392" t="s">
        <v>1690</v>
      </c>
      <c r="C329" s="392" t="s">
        <v>1059</v>
      </c>
      <c r="D329" s="248" t="s">
        <v>1687</v>
      </c>
      <c r="E329" s="248" t="s">
        <v>1033</v>
      </c>
      <c r="F329" s="248" t="s">
        <v>2108</v>
      </c>
      <c r="G329" s="370" t="s">
        <v>1063</v>
      </c>
      <c r="H329" s="395">
        <v>878.78</v>
      </c>
      <c r="I329" s="395">
        <v>105</v>
      </c>
      <c r="J329" s="395">
        <f t="shared" si="77"/>
        <v>57585.165532758605</v>
      </c>
      <c r="K329" s="395">
        <f t="shared" si="78"/>
        <v>57585.165532758605</v>
      </c>
      <c r="L329" s="395">
        <f t="shared" si="79"/>
        <v>6880.4961206896533</v>
      </c>
      <c r="M329" s="395">
        <f t="shared" si="80"/>
        <v>6880.4961206896533</v>
      </c>
      <c r="N329" s="415"/>
      <c r="O329" s="405">
        <v>25.118534482758601</v>
      </c>
      <c r="P329" s="393">
        <v>35</v>
      </c>
      <c r="Q329" s="393">
        <f t="shared" si="81"/>
        <v>5.41</v>
      </c>
      <c r="R329" s="393">
        <f t="shared" si="82"/>
        <v>65.528534482758602</v>
      </c>
      <c r="S329" s="370"/>
    </row>
    <row r="330" spans="1:19" ht="52.5" outlineLevel="1">
      <c r="A330" s="392" t="s">
        <v>1685</v>
      </c>
      <c r="B330" s="392" t="s">
        <v>1691</v>
      </c>
      <c r="C330" s="392" t="s">
        <v>1059</v>
      </c>
      <c r="D330" s="248" t="s">
        <v>1692</v>
      </c>
      <c r="E330" s="248" t="s">
        <v>1032</v>
      </c>
      <c r="F330" s="248" t="s">
        <v>2109</v>
      </c>
      <c r="G330" s="370" t="s">
        <v>1063</v>
      </c>
      <c r="H330" s="395"/>
      <c r="I330" s="395"/>
      <c r="J330" s="395">
        <f t="shared" si="77"/>
        <v>0</v>
      </c>
      <c r="K330" s="395">
        <f t="shared" si="78"/>
        <v>0</v>
      </c>
      <c r="L330" s="395">
        <f t="shared" si="79"/>
        <v>0</v>
      </c>
      <c r="M330" s="395">
        <f t="shared" si="80"/>
        <v>0</v>
      </c>
      <c r="N330" s="415"/>
      <c r="O330" s="405">
        <v>23.615948275862099</v>
      </c>
      <c r="P330" s="393">
        <f>P328</f>
        <v>28</v>
      </c>
      <c r="Q330" s="393">
        <f t="shared" si="81"/>
        <v>4.6500000000000004</v>
      </c>
      <c r="R330" s="393">
        <f t="shared" si="82"/>
        <v>56.265948275862094</v>
      </c>
      <c r="S330" s="370"/>
    </row>
    <row r="331" spans="1:19" ht="52.5" outlineLevel="1">
      <c r="A331" s="392" t="s">
        <v>1685</v>
      </c>
      <c r="B331" s="392" t="s">
        <v>1693</v>
      </c>
      <c r="C331" s="392" t="s">
        <v>1059</v>
      </c>
      <c r="D331" s="248" t="s">
        <v>1692</v>
      </c>
      <c r="E331" s="248" t="s">
        <v>1033</v>
      </c>
      <c r="F331" s="248" t="s">
        <v>2108</v>
      </c>
      <c r="G331" s="370" t="s">
        <v>1063</v>
      </c>
      <c r="H331" s="395"/>
      <c r="I331" s="395"/>
      <c r="J331" s="395">
        <f t="shared" si="77"/>
        <v>0</v>
      </c>
      <c r="K331" s="395">
        <f t="shared" si="78"/>
        <v>0</v>
      </c>
      <c r="L331" s="395">
        <f t="shared" si="79"/>
        <v>0</v>
      </c>
      <c r="M331" s="395">
        <f t="shared" si="80"/>
        <v>0</v>
      </c>
      <c r="N331" s="415"/>
      <c r="O331" s="405">
        <v>35.944396551724097</v>
      </c>
      <c r="P331" s="393">
        <f>P329</f>
        <v>35</v>
      </c>
      <c r="Q331" s="393">
        <f t="shared" si="81"/>
        <v>6.38</v>
      </c>
      <c r="R331" s="393">
        <f t="shared" si="82"/>
        <v>77.324396551724092</v>
      </c>
      <c r="S331" s="370"/>
    </row>
    <row r="332" spans="1:19" ht="52.5" outlineLevel="1">
      <c r="A332" s="392" t="s">
        <v>1685</v>
      </c>
      <c r="B332" s="392" t="s">
        <v>1694</v>
      </c>
      <c r="C332" s="392" t="s">
        <v>1059</v>
      </c>
      <c r="D332" s="248" t="s">
        <v>1695</v>
      </c>
      <c r="E332" s="248" t="s">
        <v>1084</v>
      </c>
      <c r="F332" s="248" t="s">
        <v>2108</v>
      </c>
      <c r="G332" s="370" t="s">
        <v>1063</v>
      </c>
      <c r="H332" s="395">
        <v>6597.29</v>
      </c>
      <c r="I332" s="395"/>
      <c r="J332" s="395">
        <f t="shared" si="77"/>
        <v>160448.36772758624</v>
      </c>
      <c r="K332" s="395">
        <f t="shared" si="78"/>
        <v>160448.36772758624</v>
      </c>
      <c r="L332" s="395">
        <f t="shared" si="79"/>
        <v>0</v>
      </c>
      <c r="M332" s="395">
        <f t="shared" si="80"/>
        <v>0</v>
      </c>
      <c r="N332" s="415"/>
      <c r="O332" s="405">
        <f t="shared" ref="O332:O334" si="83">O326</f>
        <v>4.31034482758621</v>
      </c>
      <c r="P332" s="393">
        <f t="shared" ref="P332:P334" si="84">P326+2</f>
        <v>18</v>
      </c>
      <c r="Q332" s="393">
        <f t="shared" si="81"/>
        <v>2.0099999999999998</v>
      </c>
      <c r="R332" s="393">
        <f t="shared" si="82"/>
        <v>24.320344827586212</v>
      </c>
      <c r="S332" s="370"/>
    </row>
    <row r="333" spans="1:19" ht="52.5" outlineLevel="1">
      <c r="A333" s="392" t="s">
        <v>1685</v>
      </c>
      <c r="B333" s="392" t="s">
        <v>1696</v>
      </c>
      <c r="C333" s="392" t="s">
        <v>1059</v>
      </c>
      <c r="D333" s="248" t="s">
        <v>1695</v>
      </c>
      <c r="E333" s="248" t="s">
        <v>1128</v>
      </c>
      <c r="F333" s="248" t="s">
        <v>2108</v>
      </c>
      <c r="G333" s="370" t="s">
        <v>1063</v>
      </c>
      <c r="H333" s="395">
        <v>208.98</v>
      </c>
      <c r="I333" s="395"/>
      <c r="J333" s="395">
        <f t="shared" si="77"/>
        <v>7016.8998413793106</v>
      </c>
      <c r="K333" s="395">
        <f t="shared" si="78"/>
        <v>7016.8998413793106</v>
      </c>
      <c r="L333" s="395">
        <f t="shared" si="79"/>
        <v>0</v>
      </c>
      <c r="M333" s="395">
        <f t="shared" si="80"/>
        <v>0</v>
      </c>
      <c r="N333" s="415"/>
      <c r="O333" s="405">
        <f t="shared" si="83"/>
        <v>6.8068965517241402</v>
      </c>
      <c r="P333" s="393">
        <f t="shared" si="84"/>
        <v>24</v>
      </c>
      <c r="Q333" s="393">
        <f t="shared" si="81"/>
        <v>2.77</v>
      </c>
      <c r="R333" s="393">
        <f t="shared" si="82"/>
        <v>33.57689655172414</v>
      </c>
      <c r="S333" s="370"/>
    </row>
    <row r="334" spans="1:19" ht="52.5" outlineLevel="1">
      <c r="A334" s="392" t="s">
        <v>1685</v>
      </c>
      <c r="B334" s="392" t="s">
        <v>1697</v>
      </c>
      <c r="C334" s="392" t="s">
        <v>1059</v>
      </c>
      <c r="D334" s="248" t="s">
        <v>1695</v>
      </c>
      <c r="E334" s="248" t="s">
        <v>1032</v>
      </c>
      <c r="F334" s="248" t="s">
        <v>2108</v>
      </c>
      <c r="G334" s="370" t="s">
        <v>1063</v>
      </c>
      <c r="H334" s="395"/>
      <c r="I334" s="395"/>
      <c r="J334" s="395">
        <f t="shared" si="77"/>
        <v>0</v>
      </c>
      <c r="K334" s="395">
        <f t="shared" si="78"/>
        <v>0</v>
      </c>
      <c r="L334" s="395">
        <f t="shared" si="79"/>
        <v>0</v>
      </c>
      <c r="M334" s="395">
        <f t="shared" si="80"/>
        <v>0</v>
      </c>
      <c r="N334" s="415"/>
      <c r="O334" s="405">
        <f t="shared" si="83"/>
        <v>13.4418103448276</v>
      </c>
      <c r="P334" s="393">
        <f t="shared" si="84"/>
        <v>30</v>
      </c>
      <c r="Q334" s="393">
        <f t="shared" si="81"/>
        <v>3.91</v>
      </c>
      <c r="R334" s="393">
        <f t="shared" si="82"/>
        <v>47.351810344827598</v>
      </c>
      <c r="S334" s="370"/>
    </row>
    <row r="335" spans="1:19" ht="52.5" outlineLevel="1">
      <c r="A335" s="392" t="s">
        <v>1685</v>
      </c>
      <c r="B335" s="392" t="s">
        <v>1698</v>
      </c>
      <c r="C335" s="392" t="s">
        <v>1059</v>
      </c>
      <c r="D335" s="248" t="s">
        <v>1699</v>
      </c>
      <c r="E335" s="248" t="s">
        <v>1128</v>
      </c>
      <c r="F335" s="248" t="s">
        <v>2110</v>
      </c>
      <c r="G335" s="370" t="s">
        <v>1063</v>
      </c>
      <c r="H335" s="395">
        <v>156.24</v>
      </c>
      <c r="I335" s="395"/>
      <c r="J335" s="395">
        <f t="shared" si="77"/>
        <v>4310.71547586207</v>
      </c>
      <c r="K335" s="395">
        <f t="shared" si="78"/>
        <v>4310.71547586207</v>
      </c>
      <c r="L335" s="395">
        <f t="shared" si="79"/>
        <v>0</v>
      </c>
      <c r="M335" s="395">
        <f t="shared" si="80"/>
        <v>0</v>
      </c>
      <c r="N335" s="415"/>
      <c r="O335" s="405">
        <f>O332</f>
        <v>4.31034482758621</v>
      </c>
      <c r="P335" s="393">
        <f>P327-1</f>
        <v>21</v>
      </c>
      <c r="Q335" s="393">
        <f t="shared" si="81"/>
        <v>2.2799999999999998</v>
      </c>
      <c r="R335" s="393">
        <f t="shared" si="82"/>
        <v>27.590344827586211</v>
      </c>
      <c r="S335" s="370"/>
    </row>
    <row r="336" spans="1:19" ht="52.5" outlineLevel="1">
      <c r="A336" s="392" t="s">
        <v>1685</v>
      </c>
      <c r="B336" s="392" t="s">
        <v>1700</v>
      </c>
      <c r="C336" s="392" t="s">
        <v>1059</v>
      </c>
      <c r="D336" s="248" t="s">
        <v>1699</v>
      </c>
      <c r="E336" s="248" t="s">
        <v>1032</v>
      </c>
      <c r="F336" s="248" t="s">
        <v>2110</v>
      </c>
      <c r="G336" s="370" t="s">
        <v>1063</v>
      </c>
      <c r="H336" s="395">
        <v>2793.84</v>
      </c>
      <c r="I336" s="395"/>
      <c r="J336" s="395">
        <f t="shared" si="77"/>
        <v>102944.33346206897</v>
      </c>
      <c r="K336" s="395">
        <f t="shared" si="78"/>
        <v>102944.33346206897</v>
      </c>
      <c r="L336" s="395">
        <f t="shared" si="79"/>
        <v>0</v>
      </c>
      <c r="M336" s="395">
        <f t="shared" si="80"/>
        <v>0</v>
      </c>
      <c r="N336" s="415"/>
      <c r="O336" s="405">
        <f>O333</f>
        <v>6.8068965517241402</v>
      </c>
      <c r="P336" s="393">
        <f>P328-1</f>
        <v>27</v>
      </c>
      <c r="Q336" s="393">
        <f t="shared" si="81"/>
        <v>3.04</v>
      </c>
      <c r="R336" s="393">
        <f t="shared" si="82"/>
        <v>36.846896551724136</v>
      </c>
      <c r="S336" s="370"/>
    </row>
    <row r="337" spans="1:19" ht="42" outlineLevel="1">
      <c r="A337" s="392" t="s">
        <v>1685</v>
      </c>
      <c r="B337" s="392" t="s">
        <v>1701</v>
      </c>
      <c r="C337" s="392" t="s">
        <v>1059</v>
      </c>
      <c r="D337" s="248" t="s">
        <v>1702</v>
      </c>
      <c r="E337" s="248" t="s">
        <v>1032</v>
      </c>
      <c r="F337" s="248" t="s">
        <v>2111</v>
      </c>
      <c r="G337" s="370" t="s">
        <v>1063</v>
      </c>
      <c r="H337" s="395">
        <v>106.35</v>
      </c>
      <c r="I337" s="395"/>
      <c r="J337" s="395">
        <f t="shared" si="77"/>
        <v>5867.9620991379334</v>
      </c>
      <c r="K337" s="395">
        <f t="shared" si="78"/>
        <v>5867.9620991379334</v>
      </c>
      <c r="L337" s="395">
        <f t="shared" si="79"/>
        <v>0</v>
      </c>
      <c r="M337" s="395">
        <f t="shared" si="80"/>
        <v>0</v>
      </c>
      <c r="N337" s="415"/>
      <c r="O337" s="405">
        <f>O330</f>
        <v>23.615948275862099</v>
      </c>
      <c r="P337" s="393">
        <f>P328-1</f>
        <v>27</v>
      </c>
      <c r="Q337" s="393">
        <f t="shared" si="81"/>
        <v>4.5599999999999996</v>
      </c>
      <c r="R337" s="393">
        <f t="shared" si="82"/>
        <v>55.175948275862098</v>
      </c>
      <c r="S337" s="370"/>
    </row>
    <row r="338" spans="1:19" ht="42" outlineLevel="1">
      <c r="A338" s="392" t="s">
        <v>1685</v>
      </c>
      <c r="B338" s="392" t="s">
        <v>1703</v>
      </c>
      <c r="C338" s="392" t="s">
        <v>1059</v>
      </c>
      <c r="D338" s="248" t="s">
        <v>1702</v>
      </c>
      <c r="E338" s="248" t="s">
        <v>1033</v>
      </c>
      <c r="F338" s="248" t="s">
        <v>2111</v>
      </c>
      <c r="G338" s="370" t="s">
        <v>1063</v>
      </c>
      <c r="H338" s="395">
        <v>105.12</v>
      </c>
      <c r="I338" s="395"/>
      <c r="J338" s="395">
        <f t="shared" si="77"/>
        <v>8013.7597655172385</v>
      </c>
      <c r="K338" s="395">
        <f t="shared" si="78"/>
        <v>8013.7597655172385</v>
      </c>
      <c r="L338" s="395">
        <f t="shared" si="79"/>
        <v>0</v>
      </c>
      <c r="M338" s="395">
        <f t="shared" si="80"/>
        <v>0</v>
      </c>
      <c r="N338" s="415"/>
      <c r="O338" s="405">
        <f>O331</f>
        <v>35.944396551724097</v>
      </c>
      <c r="P338" s="393">
        <f>P329-1</f>
        <v>34</v>
      </c>
      <c r="Q338" s="393">
        <f t="shared" si="81"/>
        <v>6.29</v>
      </c>
      <c r="R338" s="393">
        <f t="shared" si="82"/>
        <v>76.234396551724103</v>
      </c>
      <c r="S338" s="370"/>
    </row>
    <row r="339" spans="1:19" ht="52.5" outlineLevel="1">
      <c r="A339" s="392" t="s">
        <v>1685</v>
      </c>
      <c r="B339" s="392" t="s">
        <v>1704</v>
      </c>
      <c r="C339" s="392" t="s">
        <v>1059</v>
      </c>
      <c r="D339" s="248" t="s">
        <v>1705</v>
      </c>
      <c r="E339" s="248" t="s">
        <v>1128</v>
      </c>
      <c r="F339" s="248" t="s">
        <v>2108</v>
      </c>
      <c r="G339" s="370" t="s">
        <v>1063</v>
      </c>
      <c r="H339" s="395"/>
      <c r="I339" s="395"/>
      <c r="J339" s="395">
        <f t="shared" si="77"/>
        <v>0</v>
      </c>
      <c r="K339" s="395">
        <f t="shared" si="78"/>
        <v>0</v>
      </c>
      <c r="L339" s="395">
        <f t="shared" si="79"/>
        <v>0</v>
      </c>
      <c r="M339" s="395">
        <f t="shared" si="80"/>
        <v>0</v>
      </c>
      <c r="N339" s="415"/>
      <c r="O339" s="405">
        <v>27.586206896551701</v>
      </c>
      <c r="P339" s="393">
        <v>50</v>
      </c>
      <c r="Q339" s="393">
        <f t="shared" si="81"/>
        <v>6.98</v>
      </c>
      <c r="R339" s="393">
        <f t="shared" si="82"/>
        <v>84.566206896551705</v>
      </c>
      <c r="S339" s="370"/>
    </row>
    <row r="340" spans="1:19" ht="52.5" outlineLevel="1">
      <c r="A340" s="392" t="s">
        <v>1685</v>
      </c>
      <c r="B340" s="392" t="s">
        <v>1706</v>
      </c>
      <c r="C340" s="392" t="s">
        <v>1059</v>
      </c>
      <c r="D340" s="248" t="s">
        <v>1705</v>
      </c>
      <c r="E340" s="248" t="s">
        <v>1032</v>
      </c>
      <c r="F340" s="248" t="s">
        <v>2108</v>
      </c>
      <c r="G340" s="370" t="s">
        <v>1063</v>
      </c>
      <c r="H340" s="395">
        <v>145.41</v>
      </c>
      <c r="I340" s="395"/>
      <c r="J340" s="395">
        <f t="shared" si="77"/>
        <v>18445.15821724138</v>
      </c>
      <c r="K340" s="395">
        <f t="shared" si="78"/>
        <v>18445.15821724138</v>
      </c>
      <c r="L340" s="395">
        <f t="shared" si="79"/>
        <v>0</v>
      </c>
      <c r="M340" s="395">
        <f t="shared" si="80"/>
        <v>0</v>
      </c>
      <c r="N340" s="415"/>
      <c r="O340" s="405">
        <v>41.379310344827601</v>
      </c>
      <c r="P340" s="393">
        <v>75</v>
      </c>
      <c r="Q340" s="393">
        <f t="shared" si="81"/>
        <v>10.47</v>
      </c>
      <c r="R340" s="393">
        <f t="shared" si="82"/>
        <v>126.8493103448276</v>
      </c>
      <c r="S340" s="370"/>
    </row>
    <row r="341" spans="1:19" ht="52.5" outlineLevel="1">
      <c r="A341" s="392" t="s">
        <v>1685</v>
      </c>
      <c r="B341" s="392" t="s">
        <v>1707</v>
      </c>
      <c r="C341" s="392" t="s">
        <v>1059</v>
      </c>
      <c r="D341" s="248" t="s">
        <v>1705</v>
      </c>
      <c r="E341" s="248" t="s">
        <v>1033</v>
      </c>
      <c r="F341" s="248" t="s">
        <v>2108</v>
      </c>
      <c r="G341" s="370" t="s">
        <v>1063</v>
      </c>
      <c r="H341" s="395"/>
      <c r="I341" s="395"/>
      <c r="J341" s="395">
        <f t="shared" si="77"/>
        <v>0</v>
      </c>
      <c r="K341" s="395">
        <f t="shared" si="78"/>
        <v>0</v>
      </c>
      <c r="L341" s="395">
        <f t="shared" si="79"/>
        <v>0</v>
      </c>
      <c r="M341" s="395">
        <f t="shared" si="80"/>
        <v>0</v>
      </c>
      <c r="N341" s="415"/>
      <c r="O341" s="405">
        <v>56.8965517241379</v>
      </c>
      <c r="P341" s="393">
        <v>100</v>
      </c>
      <c r="Q341" s="393">
        <f t="shared" si="81"/>
        <v>14.12</v>
      </c>
      <c r="R341" s="393">
        <f t="shared" si="82"/>
        <v>171.01655172413791</v>
      </c>
      <c r="S341" s="370"/>
    </row>
    <row r="342" spans="1:19">
      <c r="A342" s="392" t="s">
        <v>1677</v>
      </c>
      <c r="B342" s="392" t="s">
        <v>1708</v>
      </c>
      <c r="C342" s="392" t="s">
        <v>1056</v>
      </c>
      <c r="D342" s="394" t="s">
        <v>1709</v>
      </c>
      <c r="E342" s="248"/>
      <c r="F342" s="248"/>
      <c r="G342" s="370"/>
      <c r="H342" s="395"/>
      <c r="I342" s="395"/>
      <c r="J342" s="395"/>
      <c r="K342" s="395"/>
      <c r="L342" s="395"/>
      <c r="M342" s="395"/>
      <c r="N342" s="416"/>
      <c r="O342" s="393"/>
      <c r="P342" s="393"/>
      <c r="Q342" s="393"/>
      <c r="R342" s="395"/>
      <c r="S342" s="370"/>
    </row>
    <row r="343" spans="1:19" outlineLevel="1">
      <c r="A343" s="392" t="s">
        <v>1708</v>
      </c>
      <c r="B343" s="392" t="s">
        <v>1710</v>
      </c>
      <c r="C343" s="392" t="s">
        <v>1059</v>
      </c>
      <c r="D343" s="248" t="s">
        <v>1124</v>
      </c>
      <c r="E343" s="248" t="s">
        <v>1125</v>
      </c>
      <c r="F343" s="248" t="s">
        <v>1555</v>
      </c>
      <c r="G343" s="370" t="s">
        <v>524</v>
      </c>
      <c r="H343" s="395"/>
      <c r="I343" s="395"/>
      <c r="J343" s="395">
        <f t="shared" si="77"/>
        <v>0</v>
      </c>
      <c r="K343" s="395">
        <f t="shared" si="78"/>
        <v>0</v>
      </c>
      <c r="L343" s="395">
        <f t="shared" si="79"/>
        <v>0</v>
      </c>
      <c r="M343" s="395">
        <f t="shared" si="80"/>
        <v>0</v>
      </c>
      <c r="N343" s="415"/>
      <c r="O343" s="405">
        <f t="shared" ref="O343:O347" si="85">O297</f>
        <v>11.1524827586207</v>
      </c>
      <c r="P343" s="393">
        <f t="shared" ref="P343:P352" si="86">P32</f>
        <v>100</v>
      </c>
      <c r="Q343" s="393">
        <f t="shared" ref="Q343:Q362" si="87">ROUND((O343+P343)*0.09,2)</f>
        <v>10</v>
      </c>
      <c r="R343" s="393">
        <f t="shared" ref="R343:R362" si="88">P343+O343+Q343</f>
        <v>121.15248275862069</v>
      </c>
      <c r="S343" s="370"/>
    </row>
    <row r="344" spans="1:19" outlineLevel="1">
      <c r="A344" s="392" t="s">
        <v>1708</v>
      </c>
      <c r="B344" s="392" t="s">
        <v>1711</v>
      </c>
      <c r="C344" s="392" t="s">
        <v>1059</v>
      </c>
      <c r="D344" s="248" t="s">
        <v>1124</v>
      </c>
      <c r="E344" s="248" t="s">
        <v>1128</v>
      </c>
      <c r="F344" s="248" t="s">
        <v>1555</v>
      </c>
      <c r="G344" s="370" t="s">
        <v>524</v>
      </c>
      <c r="H344" s="395"/>
      <c r="I344" s="395"/>
      <c r="J344" s="395">
        <f t="shared" si="77"/>
        <v>0</v>
      </c>
      <c r="K344" s="395">
        <f t="shared" si="78"/>
        <v>0</v>
      </c>
      <c r="L344" s="395">
        <f t="shared" si="79"/>
        <v>0</v>
      </c>
      <c r="M344" s="395">
        <f t="shared" si="80"/>
        <v>0</v>
      </c>
      <c r="N344" s="415"/>
      <c r="O344" s="405">
        <f t="shared" si="85"/>
        <v>15.2691379310345</v>
      </c>
      <c r="P344" s="393">
        <f t="shared" si="86"/>
        <v>120</v>
      </c>
      <c r="Q344" s="393">
        <f t="shared" si="87"/>
        <v>12.17</v>
      </c>
      <c r="R344" s="393">
        <f t="shared" si="88"/>
        <v>147.43913793103448</v>
      </c>
      <c r="S344" s="370"/>
    </row>
    <row r="345" spans="1:19" outlineLevel="1">
      <c r="A345" s="392" t="s">
        <v>1708</v>
      </c>
      <c r="B345" s="392" t="s">
        <v>1712</v>
      </c>
      <c r="C345" s="392" t="s">
        <v>1059</v>
      </c>
      <c r="D345" s="248" t="s">
        <v>1124</v>
      </c>
      <c r="E345" s="248" t="s">
        <v>1032</v>
      </c>
      <c r="F345" s="248" t="s">
        <v>1555</v>
      </c>
      <c r="G345" s="370" t="s">
        <v>524</v>
      </c>
      <c r="H345" s="395"/>
      <c r="I345" s="395"/>
      <c r="J345" s="395">
        <f t="shared" si="77"/>
        <v>0</v>
      </c>
      <c r="K345" s="395">
        <f t="shared" si="78"/>
        <v>0</v>
      </c>
      <c r="L345" s="395">
        <f t="shared" si="79"/>
        <v>0</v>
      </c>
      <c r="M345" s="395">
        <f t="shared" si="80"/>
        <v>0</v>
      </c>
      <c r="N345" s="415"/>
      <c r="O345" s="405">
        <f t="shared" si="85"/>
        <v>24.847435344827598</v>
      </c>
      <c r="P345" s="393">
        <f t="shared" si="86"/>
        <v>160</v>
      </c>
      <c r="Q345" s="393">
        <f t="shared" si="87"/>
        <v>16.64</v>
      </c>
      <c r="R345" s="393">
        <f t="shared" si="88"/>
        <v>201.48743534482759</v>
      </c>
      <c r="S345" s="370"/>
    </row>
    <row r="346" spans="1:19" outlineLevel="1">
      <c r="A346" s="392" t="s">
        <v>1708</v>
      </c>
      <c r="B346" s="392" t="s">
        <v>1713</v>
      </c>
      <c r="C346" s="392" t="s">
        <v>1059</v>
      </c>
      <c r="D346" s="248" t="s">
        <v>1124</v>
      </c>
      <c r="E346" s="248" t="s">
        <v>1033</v>
      </c>
      <c r="F346" s="248" t="s">
        <v>1555</v>
      </c>
      <c r="G346" s="370" t="s">
        <v>524</v>
      </c>
      <c r="H346" s="395"/>
      <c r="I346" s="395"/>
      <c r="J346" s="395">
        <f t="shared" si="77"/>
        <v>0</v>
      </c>
      <c r="K346" s="395">
        <f t="shared" si="78"/>
        <v>0</v>
      </c>
      <c r="L346" s="395">
        <f t="shared" si="79"/>
        <v>0</v>
      </c>
      <c r="M346" s="395">
        <f t="shared" si="80"/>
        <v>0</v>
      </c>
      <c r="N346" s="415"/>
      <c r="O346" s="405">
        <f t="shared" si="85"/>
        <v>41.884206896551703</v>
      </c>
      <c r="P346" s="393">
        <f t="shared" si="86"/>
        <v>180</v>
      </c>
      <c r="Q346" s="393">
        <f t="shared" si="87"/>
        <v>19.97</v>
      </c>
      <c r="R346" s="393">
        <f t="shared" si="88"/>
        <v>241.85420689655169</v>
      </c>
      <c r="S346" s="370"/>
    </row>
    <row r="347" spans="1:19" outlineLevel="1">
      <c r="A347" s="392" t="s">
        <v>1708</v>
      </c>
      <c r="B347" s="392" t="s">
        <v>1714</v>
      </c>
      <c r="C347" s="392" t="s">
        <v>1059</v>
      </c>
      <c r="D347" s="248" t="s">
        <v>1124</v>
      </c>
      <c r="E347" s="248" t="s">
        <v>1034</v>
      </c>
      <c r="F347" s="248" t="s">
        <v>1555</v>
      </c>
      <c r="G347" s="370" t="s">
        <v>524</v>
      </c>
      <c r="H347" s="395"/>
      <c r="I347" s="395"/>
      <c r="J347" s="395">
        <f t="shared" si="77"/>
        <v>0</v>
      </c>
      <c r="K347" s="395">
        <f t="shared" si="78"/>
        <v>0</v>
      </c>
      <c r="L347" s="395">
        <f t="shared" si="79"/>
        <v>0</v>
      </c>
      <c r="M347" s="395">
        <f t="shared" si="80"/>
        <v>0</v>
      </c>
      <c r="N347" s="415"/>
      <c r="O347" s="405">
        <f t="shared" si="85"/>
        <v>74.448853448275898</v>
      </c>
      <c r="P347" s="393">
        <f t="shared" si="86"/>
        <v>200</v>
      </c>
      <c r="Q347" s="393">
        <f t="shared" si="87"/>
        <v>24.7</v>
      </c>
      <c r="R347" s="393">
        <f t="shared" si="88"/>
        <v>299.14885344827587</v>
      </c>
      <c r="S347" s="370"/>
    </row>
    <row r="348" spans="1:19" ht="21" outlineLevel="1">
      <c r="A348" s="392" t="s">
        <v>1708</v>
      </c>
      <c r="B348" s="392" t="s">
        <v>1715</v>
      </c>
      <c r="C348" s="392" t="s">
        <v>1059</v>
      </c>
      <c r="D348" s="388" t="s">
        <v>1716</v>
      </c>
      <c r="E348" s="388" t="s">
        <v>1134</v>
      </c>
      <c r="F348" s="248" t="s">
        <v>1126</v>
      </c>
      <c r="G348" s="292" t="s">
        <v>524</v>
      </c>
      <c r="H348" s="395"/>
      <c r="I348" s="395"/>
      <c r="J348" s="395">
        <f t="shared" si="77"/>
        <v>0</v>
      </c>
      <c r="K348" s="395">
        <f t="shared" si="78"/>
        <v>0</v>
      </c>
      <c r="L348" s="395">
        <f t="shared" si="79"/>
        <v>0</v>
      </c>
      <c r="M348" s="395">
        <f t="shared" si="80"/>
        <v>0</v>
      </c>
      <c r="N348" s="415"/>
      <c r="O348" s="405">
        <f>O37</f>
        <v>4.6950000000000003</v>
      </c>
      <c r="P348" s="393">
        <f t="shared" si="86"/>
        <v>25</v>
      </c>
      <c r="Q348" s="393">
        <f t="shared" si="87"/>
        <v>2.67</v>
      </c>
      <c r="R348" s="393">
        <f t="shared" si="88"/>
        <v>32.365000000000002</v>
      </c>
      <c r="S348" s="370" t="s">
        <v>1135</v>
      </c>
    </row>
    <row r="349" spans="1:19" ht="21" outlineLevel="1">
      <c r="A349" s="392" t="s">
        <v>1708</v>
      </c>
      <c r="B349" s="392" t="s">
        <v>1717</v>
      </c>
      <c r="C349" s="392" t="s">
        <v>1059</v>
      </c>
      <c r="D349" s="388" t="s">
        <v>1716</v>
      </c>
      <c r="E349" s="388" t="s">
        <v>1084</v>
      </c>
      <c r="F349" s="248" t="s">
        <v>1126</v>
      </c>
      <c r="G349" s="292" t="s">
        <v>524</v>
      </c>
      <c r="H349" s="395"/>
      <c r="I349" s="395"/>
      <c r="J349" s="395">
        <f t="shared" si="77"/>
        <v>0</v>
      </c>
      <c r="K349" s="395">
        <f t="shared" si="78"/>
        <v>0</v>
      </c>
      <c r="L349" s="395">
        <f t="shared" si="79"/>
        <v>0</v>
      </c>
      <c r="M349" s="395">
        <f t="shared" si="80"/>
        <v>0</v>
      </c>
      <c r="N349" s="415"/>
      <c r="O349" s="405">
        <f t="shared" ref="O349:O351" si="89">O303</f>
        <v>6.0831724137930898</v>
      </c>
      <c r="P349" s="393">
        <f t="shared" si="86"/>
        <v>35</v>
      </c>
      <c r="Q349" s="393">
        <f t="shared" si="87"/>
        <v>3.7</v>
      </c>
      <c r="R349" s="393">
        <f t="shared" si="88"/>
        <v>44.783172413793096</v>
      </c>
      <c r="S349" s="370" t="s">
        <v>1135</v>
      </c>
    </row>
    <row r="350" spans="1:19" ht="21" outlineLevel="1">
      <c r="A350" s="392" t="s">
        <v>1708</v>
      </c>
      <c r="B350" s="392" t="s">
        <v>1718</v>
      </c>
      <c r="C350" s="392" t="s">
        <v>1059</v>
      </c>
      <c r="D350" s="388" t="s">
        <v>1716</v>
      </c>
      <c r="E350" s="388" t="s">
        <v>1088</v>
      </c>
      <c r="F350" s="248" t="s">
        <v>1126</v>
      </c>
      <c r="G350" s="292" t="s">
        <v>524</v>
      </c>
      <c r="H350" s="395"/>
      <c r="I350" s="395"/>
      <c r="J350" s="395">
        <f t="shared" si="77"/>
        <v>0</v>
      </c>
      <c r="K350" s="395">
        <f t="shared" si="78"/>
        <v>0</v>
      </c>
      <c r="L350" s="395">
        <f t="shared" si="79"/>
        <v>0</v>
      </c>
      <c r="M350" s="395">
        <f t="shared" si="80"/>
        <v>0</v>
      </c>
      <c r="N350" s="415"/>
      <c r="O350" s="405">
        <f t="shared" si="89"/>
        <v>8.3286206896551604</v>
      </c>
      <c r="P350" s="393">
        <f t="shared" si="86"/>
        <v>40</v>
      </c>
      <c r="Q350" s="393">
        <f t="shared" si="87"/>
        <v>4.3499999999999996</v>
      </c>
      <c r="R350" s="393">
        <f t="shared" si="88"/>
        <v>52.678620689655162</v>
      </c>
      <c r="S350" s="370" t="s">
        <v>1135</v>
      </c>
    </row>
    <row r="351" spans="1:19" ht="21" outlineLevel="1">
      <c r="A351" s="392" t="s">
        <v>1708</v>
      </c>
      <c r="B351" s="392" t="s">
        <v>1719</v>
      </c>
      <c r="C351" s="392" t="s">
        <v>1059</v>
      </c>
      <c r="D351" s="388" t="s">
        <v>1716</v>
      </c>
      <c r="E351" s="388" t="s">
        <v>1032</v>
      </c>
      <c r="F351" s="248" t="s">
        <v>1126</v>
      </c>
      <c r="G351" s="292" t="s">
        <v>524</v>
      </c>
      <c r="H351" s="395"/>
      <c r="I351" s="395"/>
      <c r="J351" s="395">
        <f t="shared" si="77"/>
        <v>0</v>
      </c>
      <c r="K351" s="395">
        <f t="shared" si="78"/>
        <v>0</v>
      </c>
      <c r="L351" s="395">
        <f t="shared" si="79"/>
        <v>0</v>
      </c>
      <c r="M351" s="395">
        <f t="shared" si="80"/>
        <v>0</v>
      </c>
      <c r="N351" s="415"/>
      <c r="O351" s="405">
        <f t="shared" si="89"/>
        <v>13.553146551724099</v>
      </c>
      <c r="P351" s="393">
        <f t="shared" si="86"/>
        <v>60</v>
      </c>
      <c r="Q351" s="393">
        <f t="shared" si="87"/>
        <v>6.62</v>
      </c>
      <c r="R351" s="393">
        <f t="shared" si="88"/>
        <v>80.173146551724102</v>
      </c>
      <c r="S351" s="370" t="s">
        <v>1135</v>
      </c>
    </row>
    <row r="352" spans="1:19" ht="21" outlineLevel="1">
      <c r="A352" s="392" t="s">
        <v>1708</v>
      </c>
      <c r="B352" s="392" t="s">
        <v>1720</v>
      </c>
      <c r="C352" s="392">
        <v>3</v>
      </c>
      <c r="D352" s="388" t="s">
        <v>1716</v>
      </c>
      <c r="E352" s="388" t="s">
        <v>1140</v>
      </c>
      <c r="F352" s="248" t="s">
        <v>1126</v>
      </c>
      <c r="G352" s="292" t="s">
        <v>524</v>
      </c>
      <c r="H352" s="395"/>
      <c r="I352" s="395"/>
      <c r="J352" s="395">
        <f t="shared" si="77"/>
        <v>0</v>
      </c>
      <c r="K352" s="395">
        <f t="shared" si="78"/>
        <v>0</v>
      </c>
      <c r="L352" s="395">
        <f t="shared" si="79"/>
        <v>0</v>
      </c>
      <c r="M352" s="395">
        <f t="shared" si="80"/>
        <v>0</v>
      </c>
      <c r="N352" s="415"/>
      <c r="O352" s="405">
        <f>O41</f>
        <v>18.950399999999998</v>
      </c>
      <c r="P352" s="393">
        <f t="shared" si="86"/>
        <v>65</v>
      </c>
      <c r="Q352" s="393">
        <f t="shared" si="87"/>
        <v>7.56</v>
      </c>
      <c r="R352" s="393">
        <f t="shared" si="88"/>
        <v>91.510400000000004</v>
      </c>
      <c r="S352" s="370" t="s">
        <v>1135</v>
      </c>
    </row>
    <row r="353" spans="1:19" outlineLevel="1">
      <c r="A353" s="392" t="s">
        <v>1708</v>
      </c>
      <c r="B353" s="392" t="s">
        <v>1721</v>
      </c>
      <c r="C353" s="392" t="s">
        <v>1059</v>
      </c>
      <c r="D353" s="248" t="s">
        <v>1722</v>
      </c>
      <c r="E353" s="248" t="s">
        <v>1128</v>
      </c>
      <c r="F353" s="248" t="s">
        <v>1555</v>
      </c>
      <c r="G353" s="370" t="s">
        <v>524</v>
      </c>
      <c r="H353" s="395">
        <f>2247+373+988</f>
        <v>3608</v>
      </c>
      <c r="I353" s="395"/>
      <c r="J353" s="395">
        <f t="shared" si="77"/>
        <v>29513.439999999999</v>
      </c>
      <c r="K353" s="395">
        <f t="shared" si="78"/>
        <v>29513.439999999999</v>
      </c>
      <c r="L353" s="395">
        <f t="shared" si="79"/>
        <v>0</v>
      </c>
      <c r="M353" s="395">
        <f t="shared" si="80"/>
        <v>0</v>
      </c>
      <c r="N353" s="415"/>
      <c r="O353" s="405">
        <v>3</v>
      </c>
      <c r="P353" s="393">
        <v>4.5</v>
      </c>
      <c r="Q353" s="393">
        <f t="shared" si="87"/>
        <v>0.68</v>
      </c>
      <c r="R353" s="393">
        <f t="shared" si="88"/>
        <v>8.18</v>
      </c>
      <c r="S353" s="370" t="s">
        <v>1723</v>
      </c>
    </row>
    <row r="354" spans="1:19" ht="42" outlineLevel="1">
      <c r="A354" s="392" t="s">
        <v>1724</v>
      </c>
      <c r="B354" s="392" t="s">
        <v>1725</v>
      </c>
      <c r="C354" s="392" t="s">
        <v>1059</v>
      </c>
      <c r="D354" s="248" t="s">
        <v>1726</v>
      </c>
      <c r="E354" s="248" t="s">
        <v>1727</v>
      </c>
      <c r="F354" s="248" t="s">
        <v>1728</v>
      </c>
      <c r="G354" s="370" t="s">
        <v>524</v>
      </c>
      <c r="H354" s="395">
        <v>2104</v>
      </c>
      <c r="I354" s="395"/>
      <c r="J354" s="395">
        <f t="shared" si="77"/>
        <v>43096.449655172495</v>
      </c>
      <c r="K354" s="395">
        <f t="shared" si="78"/>
        <v>43096.449655172495</v>
      </c>
      <c r="L354" s="395">
        <f t="shared" si="79"/>
        <v>0</v>
      </c>
      <c r="M354" s="395">
        <f t="shared" si="80"/>
        <v>0</v>
      </c>
      <c r="N354" s="415"/>
      <c r="O354" s="405">
        <v>13.7931034482759</v>
      </c>
      <c r="P354" s="393">
        <v>5</v>
      </c>
      <c r="Q354" s="393">
        <f t="shared" si="87"/>
        <v>1.69</v>
      </c>
      <c r="R354" s="393">
        <f t="shared" si="88"/>
        <v>20.483103448275902</v>
      </c>
      <c r="S354" s="370"/>
    </row>
    <row r="355" spans="1:19" ht="42" outlineLevel="1">
      <c r="A355" s="392" t="s">
        <v>1724</v>
      </c>
      <c r="B355" s="392" t="s">
        <v>1729</v>
      </c>
      <c r="C355" s="392" t="s">
        <v>1059</v>
      </c>
      <c r="D355" s="248" t="s">
        <v>1726</v>
      </c>
      <c r="E355" s="248" t="s">
        <v>1730</v>
      </c>
      <c r="F355" s="248" t="s">
        <v>1728</v>
      </c>
      <c r="G355" s="370" t="s">
        <v>524</v>
      </c>
      <c r="H355" s="395"/>
      <c r="I355" s="395"/>
      <c r="J355" s="395">
        <f t="shared" si="77"/>
        <v>0</v>
      </c>
      <c r="K355" s="395">
        <f t="shared" si="78"/>
        <v>0</v>
      </c>
      <c r="L355" s="395">
        <f t="shared" si="79"/>
        <v>0</v>
      </c>
      <c r="M355" s="395">
        <f t="shared" si="80"/>
        <v>0</v>
      </c>
      <c r="N355" s="415"/>
      <c r="O355" s="405">
        <v>15.517241379310301</v>
      </c>
      <c r="P355" s="393">
        <v>6</v>
      </c>
      <c r="Q355" s="393">
        <f t="shared" si="87"/>
        <v>1.94</v>
      </c>
      <c r="R355" s="393">
        <f t="shared" si="88"/>
        <v>23.4572413793103</v>
      </c>
      <c r="S355" s="370"/>
    </row>
    <row r="356" spans="1:19" ht="21" outlineLevel="1">
      <c r="A356" s="392" t="s">
        <v>1724</v>
      </c>
      <c r="B356" s="392" t="s">
        <v>1731</v>
      </c>
      <c r="C356" s="392" t="s">
        <v>1059</v>
      </c>
      <c r="D356" s="248" t="s">
        <v>1732</v>
      </c>
      <c r="E356" s="248" t="s">
        <v>1084</v>
      </c>
      <c r="F356" s="248" t="s">
        <v>1733</v>
      </c>
      <c r="G356" s="370" t="s">
        <v>524</v>
      </c>
      <c r="H356" s="395"/>
      <c r="I356" s="395"/>
      <c r="J356" s="395">
        <f t="shared" si="77"/>
        <v>0</v>
      </c>
      <c r="K356" s="395">
        <f t="shared" si="78"/>
        <v>0</v>
      </c>
      <c r="L356" s="395">
        <f t="shared" si="79"/>
        <v>0</v>
      </c>
      <c r="M356" s="395">
        <f t="shared" si="80"/>
        <v>0</v>
      </c>
      <c r="N356" s="415"/>
      <c r="O356" s="405">
        <v>4.31034482758621</v>
      </c>
      <c r="P356" s="393">
        <f>P56</f>
        <v>10</v>
      </c>
      <c r="Q356" s="393">
        <f t="shared" si="87"/>
        <v>1.29</v>
      </c>
      <c r="R356" s="393">
        <f t="shared" si="88"/>
        <v>15.600344827586209</v>
      </c>
      <c r="S356" s="370"/>
    </row>
    <row r="357" spans="1:19" ht="21" outlineLevel="1">
      <c r="A357" s="392" t="s">
        <v>1724</v>
      </c>
      <c r="B357" s="392" t="s">
        <v>1734</v>
      </c>
      <c r="C357" s="392" t="s">
        <v>1059</v>
      </c>
      <c r="D357" s="248" t="s">
        <v>1735</v>
      </c>
      <c r="E357" s="248" t="s">
        <v>1084</v>
      </c>
      <c r="F357" s="248" t="s">
        <v>1733</v>
      </c>
      <c r="G357" s="370" t="s">
        <v>524</v>
      </c>
      <c r="H357" s="395"/>
      <c r="I357" s="395"/>
      <c r="J357" s="395">
        <f t="shared" si="77"/>
        <v>0</v>
      </c>
      <c r="K357" s="395">
        <f t="shared" si="78"/>
        <v>0</v>
      </c>
      <c r="L357" s="395">
        <f t="shared" si="79"/>
        <v>0</v>
      </c>
      <c r="M357" s="395">
        <f t="shared" si="80"/>
        <v>0</v>
      </c>
      <c r="N357" s="415"/>
      <c r="O357" s="405">
        <v>1.0344827586206899</v>
      </c>
      <c r="P357" s="393">
        <f>P53</f>
        <v>18</v>
      </c>
      <c r="Q357" s="393">
        <f t="shared" si="87"/>
        <v>1.71</v>
      </c>
      <c r="R357" s="393">
        <f t="shared" si="88"/>
        <v>20.744482758620691</v>
      </c>
      <c r="S357" s="370"/>
    </row>
    <row r="358" spans="1:19" ht="21" outlineLevel="1">
      <c r="A358" s="392" t="s">
        <v>1724</v>
      </c>
      <c r="B358" s="392" t="s">
        <v>1736</v>
      </c>
      <c r="C358" s="392" t="s">
        <v>1059</v>
      </c>
      <c r="D358" s="248" t="s">
        <v>1735</v>
      </c>
      <c r="E358" s="248" t="s">
        <v>1128</v>
      </c>
      <c r="F358" s="248" t="s">
        <v>1733</v>
      </c>
      <c r="G358" s="370" t="s">
        <v>524</v>
      </c>
      <c r="H358" s="395"/>
      <c r="I358" s="395"/>
      <c r="J358" s="395">
        <f t="shared" si="77"/>
        <v>0</v>
      </c>
      <c r="K358" s="395">
        <f t="shared" si="78"/>
        <v>0</v>
      </c>
      <c r="L358" s="395">
        <f t="shared" si="79"/>
        <v>0</v>
      </c>
      <c r="M358" s="395">
        <f t="shared" si="80"/>
        <v>0</v>
      </c>
      <c r="N358" s="415"/>
      <c r="O358" s="405">
        <v>1.2931034482758601</v>
      </c>
      <c r="P358" s="393">
        <f>P54</f>
        <v>23.5</v>
      </c>
      <c r="Q358" s="393">
        <f t="shared" si="87"/>
        <v>2.23</v>
      </c>
      <c r="R358" s="393">
        <f t="shared" si="88"/>
        <v>27.023103448275862</v>
      </c>
      <c r="S358" s="370"/>
    </row>
    <row r="359" spans="1:19" ht="21" outlineLevel="1">
      <c r="A359" s="392" t="s">
        <v>1724</v>
      </c>
      <c r="B359" s="392" t="s">
        <v>1737</v>
      </c>
      <c r="C359" s="392" t="s">
        <v>1059</v>
      </c>
      <c r="D359" s="248" t="s">
        <v>1738</v>
      </c>
      <c r="E359" s="248" t="s">
        <v>1084</v>
      </c>
      <c r="F359" s="248" t="s">
        <v>1733</v>
      </c>
      <c r="G359" s="370" t="s">
        <v>524</v>
      </c>
      <c r="H359" s="395">
        <v>1374</v>
      </c>
      <c r="I359" s="395"/>
      <c r="J359" s="395">
        <f t="shared" si="77"/>
        <v>34063.355172413794</v>
      </c>
      <c r="K359" s="395">
        <f t="shared" si="78"/>
        <v>34063.355172413794</v>
      </c>
      <c r="L359" s="395">
        <f t="shared" si="79"/>
        <v>0</v>
      </c>
      <c r="M359" s="395">
        <f t="shared" si="80"/>
        <v>0</v>
      </c>
      <c r="N359" s="415"/>
      <c r="O359" s="405">
        <v>4.7413793103448301</v>
      </c>
      <c r="P359" s="393">
        <f>P357</f>
        <v>18</v>
      </c>
      <c r="Q359" s="393">
        <f t="shared" si="87"/>
        <v>2.0499999999999998</v>
      </c>
      <c r="R359" s="393">
        <f t="shared" si="88"/>
        <v>24.79137931034483</v>
      </c>
      <c r="S359" s="370"/>
    </row>
    <row r="360" spans="1:19" ht="21" outlineLevel="1">
      <c r="A360" s="392" t="s">
        <v>1724</v>
      </c>
      <c r="B360" s="392" t="s">
        <v>1739</v>
      </c>
      <c r="C360" s="392" t="s">
        <v>1059</v>
      </c>
      <c r="D360" s="248" t="s">
        <v>2054</v>
      </c>
      <c r="E360" s="248" t="s">
        <v>1084</v>
      </c>
      <c r="F360" s="248" t="s">
        <v>1733</v>
      </c>
      <c r="G360" s="370" t="s">
        <v>524</v>
      </c>
      <c r="H360" s="395"/>
      <c r="I360" s="395"/>
      <c r="J360" s="395">
        <f t="shared" si="77"/>
        <v>0</v>
      </c>
      <c r="K360" s="395">
        <f t="shared" si="78"/>
        <v>0</v>
      </c>
      <c r="L360" s="395">
        <f t="shared" si="79"/>
        <v>0</v>
      </c>
      <c r="M360" s="395">
        <f t="shared" si="80"/>
        <v>0</v>
      </c>
      <c r="N360" s="415"/>
      <c r="O360" s="405">
        <v>15</v>
      </c>
      <c r="P360" s="393">
        <v>12</v>
      </c>
      <c r="Q360" s="393">
        <f t="shared" si="87"/>
        <v>2.4300000000000002</v>
      </c>
      <c r="R360" s="393">
        <f t="shared" si="88"/>
        <v>29.43</v>
      </c>
      <c r="S360" s="370"/>
    </row>
    <row r="361" spans="1:19" ht="21" outlineLevel="1">
      <c r="A361" s="392" t="s">
        <v>1724</v>
      </c>
      <c r="B361" s="392" t="s">
        <v>1740</v>
      </c>
      <c r="C361" s="392" t="s">
        <v>1059</v>
      </c>
      <c r="D361" s="248" t="s">
        <v>1173</v>
      </c>
      <c r="E361" s="248" t="s">
        <v>1032</v>
      </c>
      <c r="F361" s="248" t="s">
        <v>1733</v>
      </c>
      <c r="G361" s="370" t="s">
        <v>524</v>
      </c>
      <c r="H361" s="395"/>
      <c r="I361" s="395"/>
      <c r="J361" s="395">
        <f t="shared" si="77"/>
        <v>0</v>
      </c>
      <c r="K361" s="395">
        <f t="shared" si="78"/>
        <v>0</v>
      </c>
      <c r="L361" s="395">
        <f t="shared" si="79"/>
        <v>0</v>
      </c>
      <c r="M361" s="395">
        <f t="shared" si="80"/>
        <v>0</v>
      </c>
      <c r="N361" s="415"/>
      <c r="O361" s="405">
        <v>4.3793103448275899</v>
      </c>
      <c r="P361" s="393">
        <f>P59</f>
        <v>18.5</v>
      </c>
      <c r="Q361" s="393">
        <f t="shared" si="87"/>
        <v>2.06</v>
      </c>
      <c r="R361" s="393">
        <f t="shared" si="88"/>
        <v>24.939310344827589</v>
      </c>
      <c r="S361" s="370"/>
    </row>
    <row r="362" spans="1:19" ht="21" outlineLevel="1">
      <c r="A362" s="392" t="s">
        <v>1724</v>
      </c>
      <c r="B362" s="392" t="s">
        <v>1741</v>
      </c>
      <c r="C362" s="392" t="s">
        <v>1059</v>
      </c>
      <c r="D362" s="248" t="s">
        <v>1173</v>
      </c>
      <c r="E362" s="248" t="s">
        <v>1033</v>
      </c>
      <c r="F362" s="248" t="s">
        <v>1733</v>
      </c>
      <c r="G362" s="370" t="s">
        <v>524</v>
      </c>
      <c r="H362" s="395"/>
      <c r="I362" s="395"/>
      <c r="J362" s="395">
        <f t="shared" si="77"/>
        <v>0</v>
      </c>
      <c r="K362" s="395">
        <f t="shared" si="78"/>
        <v>0</v>
      </c>
      <c r="L362" s="395">
        <f t="shared" si="79"/>
        <v>0</v>
      </c>
      <c r="M362" s="395">
        <f t="shared" si="80"/>
        <v>0</v>
      </c>
      <c r="N362" s="415"/>
      <c r="O362" s="405">
        <v>8.4310344827586192</v>
      </c>
      <c r="P362" s="393">
        <f>P60</f>
        <v>25</v>
      </c>
      <c r="Q362" s="393">
        <f t="shared" si="87"/>
        <v>3.01</v>
      </c>
      <c r="R362" s="393">
        <f t="shared" si="88"/>
        <v>36.441034482758617</v>
      </c>
      <c r="S362" s="370"/>
    </row>
    <row r="363" spans="1:19" ht="21">
      <c r="A363" s="392" t="s">
        <v>1051</v>
      </c>
      <c r="B363" s="392" t="s">
        <v>1742</v>
      </c>
      <c r="C363" s="392" t="s">
        <v>1053</v>
      </c>
      <c r="D363" s="394" t="s">
        <v>1743</v>
      </c>
      <c r="E363" s="248"/>
      <c r="F363" s="248"/>
      <c r="G363" s="370"/>
      <c r="H363" s="395"/>
      <c r="I363" s="395"/>
      <c r="J363" s="395"/>
      <c r="K363" s="395"/>
      <c r="L363" s="395"/>
      <c r="M363" s="395"/>
      <c r="N363" s="416"/>
      <c r="O363" s="393"/>
      <c r="P363" s="393"/>
      <c r="Q363" s="393"/>
      <c r="R363" s="393"/>
      <c r="S363" s="370"/>
    </row>
    <row r="364" spans="1:19">
      <c r="A364" s="392" t="s">
        <v>1742</v>
      </c>
      <c r="B364" s="392" t="s">
        <v>1744</v>
      </c>
      <c r="C364" s="392" t="s">
        <v>1056</v>
      </c>
      <c r="D364" s="394" t="s">
        <v>1180</v>
      </c>
      <c r="E364" s="248"/>
      <c r="F364" s="248"/>
      <c r="G364" s="370"/>
      <c r="H364" s="395"/>
      <c r="I364" s="395"/>
      <c r="J364" s="395"/>
      <c r="K364" s="395"/>
      <c r="L364" s="395"/>
      <c r="M364" s="395"/>
      <c r="N364" s="416"/>
      <c r="O364" s="393"/>
      <c r="P364" s="393"/>
      <c r="Q364" s="393"/>
      <c r="R364" s="395"/>
      <c r="S364" s="370"/>
    </row>
    <row r="365" spans="1:19" ht="31.5" outlineLevel="1">
      <c r="A365" s="392" t="s">
        <v>1744</v>
      </c>
      <c r="B365" s="392" t="s">
        <v>1745</v>
      </c>
      <c r="C365" s="392" t="s">
        <v>1059</v>
      </c>
      <c r="D365" s="248" t="s">
        <v>1201</v>
      </c>
      <c r="E365" s="248" t="s">
        <v>1202</v>
      </c>
      <c r="F365" s="248" t="s">
        <v>1203</v>
      </c>
      <c r="G365" s="370" t="s">
        <v>1063</v>
      </c>
      <c r="H365" s="395"/>
      <c r="I365" s="395"/>
      <c r="J365" s="395">
        <f t="shared" si="77"/>
        <v>0</v>
      </c>
      <c r="K365" s="395">
        <f t="shared" si="78"/>
        <v>0</v>
      </c>
      <c r="L365" s="395">
        <f t="shared" si="79"/>
        <v>0</v>
      </c>
      <c r="M365" s="395">
        <f t="shared" si="80"/>
        <v>0</v>
      </c>
      <c r="N365" s="415"/>
      <c r="O365" s="405">
        <v>0.94827586206896597</v>
      </c>
      <c r="P365" s="393">
        <f t="shared" ref="P365:P368" si="90">P72</f>
        <v>6.5</v>
      </c>
      <c r="Q365" s="393">
        <f t="shared" ref="Q365:Q370" si="91">ROUND((O365+P365)*0.09,2)</f>
        <v>0.67</v>
      </c>
      <c r="R365" s="393">
        <f t="shared" ref="R365:R370" si="92">P365+O365+Q365</f>
        <v>8.1182758620689661</v>
      </c>
      <c r="S365" s="370"/>
    </row>
    <row r="366" spans="1:19" ht="31.5" outlineLevel="1">
      <c r="A366" s="392" t="s">
        <v>1744</v>
      </c>
      <c r="B366" s="392" t="s">
        <v>1746</v>
      </c>
      <c r="C366" s="392" t="s">
        <v>1059</v>
      </c>
      <c r="D366" s="248" t="s">
        <v>1201</v>
      </c>
      <c r="E366" s="248" t="s">
        <v>1205</v>
      </c>
      <c r="F366" s="248" t="s">
        <v>1203</v>
      </c>
      <c r="G366" s="370" t="s">
        <v>1063</v>
      </c>
      <c r="H366" s="395"/>
      <c r="I366" s="395"/>
      <c r="J366" s="395">
        <f t="shared" si="77"/>
        <v>0</v>
      </c>
      <c r="K366" s="395">
        <f t="shared" si="78"/>
        <v>0</v>
      </c>
      <c r="L366" s="395">
        <f t="shared" si="79"/>
        <v>0</v>
      </c>
      <c r="M366" s="395">
        <f t="shared" si="80"/>
        <v>0</v>
      </c>
      <c r="N366" s="415"/>
      <c r="O366" s="405">
        <v>1.3534482758620701</v>
      </c>
      <c r="P366" s="393">
        <f t="shared" si="90"/>
        <v>7</v>
      </c>
      <c r="Q366" s="393">
        <f t="shared" si="91"/>
        <v>0.75</v>
      </c>
      <c r="R366" s="393">
        <f t="shared" si="92"/>
        <v>9.1034482758620694</v>
      </c>
      <c r="S366" s="370"/>
    </row>
    <row r="367" spans="1:19" ht="31.5" outlineLevel="1">
      <c r="A367" s="392" t="s">
        <v>1744</v>
      </c>
      <c r="B367" s="392" t="s">
        <v>1747</v>
      </c>
      <c r="C367" s="392" t="s">
        <v>1059</v>
      </c>
      <c r="D367" s="248" t="s">
        <v>1201</v>
      </c>
      <c r="E367" s="248" t="s">
        <v>1207</v>
      </c>
      <c r="F367" s="248" t="s">
        <v>1203</v>
      </c>
      <c r="G367" s="370" t="s">
        <v>1063</v>
      </c>
      <c r="H367" s="395"/>
      <c r="I367" s="395"/>
      <c r="J367" s="395">
        <f t="shared" si="77"/>
        <v>0</v>
      </c>
      <c r="K367" s="395">
        <f t="shared" si="78"/>
        <v>0</v>
      </c>
      <c r="L367" s="395">
        <f t="shared" si="79"/>
        <v>0</v>
      </c>
      <c r="M367" s="395">
        <f t="shared" si="80"/>
        <v>0</v>
      </c>
      <c r="N367" s="415"/>
      <c r="O367" s="405">
        <v>2.2155172413793101</v>
      </c>
      <c r="P367" s="393">
        <f t="shared" si="90"/>
        <v>7.2</v>
      </c>
      <c r="Q367" s="393">
        <f t="shared" si="91"/>
        <v>0.85</v>
      </c>
      <c r="R367" s="393">
        <f t="shared" si="92"/>
        <v>10.26551724137931</v>
      </c>
      <c r="S367" s="370"/>
    </row>
    <row r="368" spans="1:19" ht="31.5" outlineLevel="1">
      <c r="A368" s="392" t="s">
        <v>1744</v>
      </c>
      <c r="B368" s="392" t="s">
        <v>1748</v>
      </c>
      <c r="C368" s="392" t="s">
        <v>1059</v>
      </c>
      <c r="D368" s="248" t="s">
        <v>1201</v>
      </c>
      <c r="E368" s="248" t="s">
        <v>1209</v>
      </c>
      <c r="F368" s="248" t="s">
        <v>1203</v>
      </c>
      <c r="G368" s="370" t="s">
        <v>1063</v>
      </c>
      <c r="H368" s="395"/>
      <c r="I368" s="395"/>
      <c r="J368" s="395">
        <f t="shared" si="77"/>
        <v>0</v>
      </c>
      <c r="K368" s="395">
        <f t="shared" si="78"/>
        <v>0</v>
      </c>
      <c r="L368" s="395">
        <f t="shared" si="79"/>
        <v>0</v>
      </c>
      <c r="M368" s="395">
        <f t="shared" si="80"/>
        <v>0</v>
      </c>
      <c r="N368" s="415"/>
      <c r="O368" s="405">
        <v>2.9310344827586201</v>
      </c>
      <c r="P368" s="393">
        <f t="shared" si="90"/>
        <v>8.6</v>
      </c>
      <c r="Q368" s="393">
        <f t="shared" si="91"/>
        <v>1.04</v>
      </c>
      <c r="R368" s="393">
        <f t="shared" si="92"/>
        <v>12.57103448275862</v>
      </c>
      <c r="S368" s="370"/>
    </row>
    <row r="369" spans="1:19" ht="31.5" outlineLevel="1">
      <c r="A369" s="392" t="s">
        <v>1744</v>
      </c>
      <c r="B369" s="392" t="s">
        <v>1749</v>
      </c>
      <c r="C369" s="392" t="s">
        <v>1059</v>
      </c>
      <c r="D369" s="248" t="s">
        <v>1226</v>
      </c>
      <c r="E369" s="248" t="s">
        <v>1227</v>
      </c>
      <c r="F369" s="248" t="s">
        <v>1228</v>
      </c>
      <c r="G369" s="370" t="s">
        <v>524</v>
      </c>
      <c r="H369" s="395"/>
      <c r="I369" s="395"/>
      <c r="J369" s="395">
        <f t="shared" si="77"/>
        <v>0</v>
      </c>
      <c r="K369" s="395">
        <f t="shared" si="78"/>
        <v>0</v>
      </c>
      <c r="L369" s="395">
        <f t="shared" si="79"/>
        <v>0</v>
      </c>
      <c r="M369" s="395">
        <f t="shared" si="80"/>
        <v>0</v>
      </c>
      <c r="N369" s="415"/>
      <c r="O369" s="405">
        <v>0.68965517241379304</v>
      </c>
      <c r="P369" s="393">
        <f>P84</f>
        <v>4.5</v>
      </c>
      <c r="Q369" s="393">
        <f t="shared" si="91"/>
        <v>0.47</v>
      </c>
      <c r="R369" s="393">
        <f t="shared" si="92"/>
        <v>5.6596551724137925</v>
      </c>
      <c r="S369" s="370"/>
    </row>
    <row r="370" spans="1:19" outlineLevel="1">
      <c r="A370" s="392" t="s">
        <v>1744</v>
      </c>
      <c r="B370" s="392" t="s">
        <v>1750</v>
      </c>
      <c r="C370" s="392" t="s">
        <v>1059</v>
      </c>
      <c r="D370" s="248" t="s">
        <v>1234</v>
      </c>
      <c r="E370" s="248"/>
      <c r="F370" s="248" t="s">
        <v>1228</v>
      </c>
      <c r="G370" s="370" t="s">
        <v>524</v>
      </c>
      <c r="H370" s="395"/>
      <c r="I370" s="395"/>
      <c r="J370" s="395">
        <f t="shared" si="77"/>
        <v>0</v>
      </c>
      <c r="K370" s="395">
        <f t="shared" si="78"/>
        <v>0</v>
      </c>
      <c r="L370" s="395">
        <f t="shared" si="79"/>
        <v>0</v>
      </c>
      <c r="M370" s="395">
        <f t="shared" si="80"/>
        <v>0</v>
      </c>
      <c r="N370" s="415"/>
      <c r="O370" s="405">
        <v>0.68965517241379304</v>
      </c>
      <c r="P370" s="393">
        <f>P369</f>
        <v>4.5</v>
      </c>
      <c r="Q370" s="393">
        <f t="shared" si="91"/>
        <v>0.47</v>
      </c>
      <c r="R370" s="393">
        <f t="shared" si="92"/>
        <v>5.6596551724137925</v>
      </c>
      <c r="S370" s="370"/>
    </row>
    <row r="371" spans="1:19">
      <c r="A371" s="392" t="s">
        <v>1742</v>
      </c>
      <c r="B371" s="392" t="s">
        <v>1751</v>
      </c>
      <c r="C371" s="392" t="s">
        <v>1056</v>
      </c>
      <c r="D371" s="394" t="s">
        <v>1236</v>
      </c>
      <c r="E371" s="248"/>
      <c r="F371" s="248"/>
      <c r="G371" s="370"/>
      <c r="H371" s="395"/>
      <c r="I371" s="395"/>
      <c r="J371" s="395"/>
      <c r="K371" s="395"/>
      <c r="L371" s="395"/>
      <c r="M371" s="395"/>
      <c r="N371" s="416"/>
      <c r="O371" s="393"/>
      <c r="P371" s="393"/>
      <c r="Q371" s="393"/>
      <c r="R371" s="395"/>
      <c r="S371" s="370"/>
    </row>
    <row r="372" spans="1:19" ht="21" outlineLevel="1">
      <c r="A372" s="392" t="s">
        <v>1751</v>
      </c>
      <c r="B372" s="392" t="s">
        <v>1752</v>
      </c>
      <c r="C372" s="392" t="s">
        <v>1059</v>
      </c>
      <c r="D372" s="248" t="s">
        <v>1238</v>
      </c>
      <c r="E372" s="248" t="s">
        <v>1239</v>
      </c>
      <c r="F372" s="248" t="s">
        <v>1240</v>
      </c>
      <c r="G372" s="370" t="s">
        <v>1063</v>
      </c>
      <c r="H372" s="395"/>
      <c r="I372" s="395"/>
      <c r="J372" s="395">
        <f t="shared" si="77"/>
        <v>0</v>
      </c>
      <c r="K372" s="395">
        <f t="shared" si="78"/>
        <v>0</v>
      </c>
      <c r="L372" s="395">
        <f t="shared" si="79"/>
        <v>0</v>
      </c>
      <c r="M372" s="395">
        <f t="shared" si="80"/>
        <v>0</v>
      </c>
      <c r="N372" s="415"/>
      <c r="O372" s="405">
        <v>1.2586206896551699</v>
      </c>
      <c r="P372" s="393">
        <f t="shared" ref="P372:P374" si="93">P89</f>
        <v>0.85</v>
      </c>
      <c r="Q372" s="393">
        <f t="shared" ref="Q372:Q375" si="94">ROUND((O372+P372)*0.09,2)</f>
        <v>0.19</v>
      </c>
      <c r="R372" s="393">
        <f t="shared" ref="R372:R375" si="95">P372+O372+Q372</f>
        <v>2.29862068965517</v>
      </c>
      <c r="S372" s="370"/>
    </row>
    <row r="373" spans="1:19" ht="21" outlineLevel="1">
      <c r="A373" s="392" t="s">
        <v>1751</v>
      </c>
      <c r="B373" s="392" t="s">
        <v>1753</v>
      </c>
      <c r="C373" s="392" t="s">
        <v>1059</v>
      </c>
      <c r="D373" s="248" t="s">
        <v>1238</v>
      </c>
      <c r="E373" s="248" t="s">
        <v>1242</v>
      </c>
      <c r="F373" s="248" t="s">
        <v>1240</v>
      </c>
      <c r="G373" s="370" t="s">
        <v>1063</v>
      </c>
      <c r="H373" s="395"/>
      <c r="I373" s="395"/>
      <c r="J373" s="395">
        <f t="shared" si="77"/>
        <v>0</v>
      </c>
      <c r="K373" s="395">
        <f t="shared" si="78"/>
        <v>0</v>
      </c>
      <c r="L373" s="395">
        <f t="shared" si="79"/>
        <v>0</v>
      </c>
      <c r="M373" s="395">
        <f t="shared" si="80"/>
        <v>0</v>
      </c>
      <c r="N373" s="415"/>
      <c r="O373" s="405">
        <v>1.9827586206896599</v>
      </c>
      <c r="P373" s="393">
        <f t="shared" si="93"/>
        <v>0.9</v>
      </c>
      <c r="Q373" s="393">
        <f t="shared" si="94"/>
        <v>0.26</v>
      </c>
      <c r="R373" s="393">
        <f t="shared" si="95"/>
        <v>3.1427586206896603</v>
      </c>
      <c r="S373" s="370"/>
    </row>
    <row r="374" spans="1:19" ht="21" outlineLevel="1">
      <c r="A374" s="392" t="s">
        <v>1751</v>
      </c>
      <c r="B374" s="392" t="s">
        <v>1754</v>
      </c>
      <c r="C374" s="392" t="s">
        <v>1059</v>
      </c>
      <c r="D374" s="248" t="s">
        <v>1238</v>
      </c>
      <c r="E374" s="248" t="s">
        <v>1244</v>
      </c>
      <c r="F374" s="248" t="s">
        <v>1240</v>
      </c>
      <c r="G374" s="370" t="s">
        <v>1063</v>
      </c>
      <c r="H374" s="395"/>
      <c r="I374" s="395"/>
      <c r="J374" s="395">
        <f t="shared" si="77"/>
        <v>0</v>
      </c>
      <c r="K374" s="395">
        <f t="shared" si="78"/>
        <v>0</v>
      </c>
      <c r="L374" s="395">
        <f t="shared" si="79"/>
        <v>0</v>
      </c>
      <c r="M374" s="395">
        <f t="shared" si="80"/>
        <v>0</v>
      </c>
      <c r="N374" s="415"/>
      <c r="O374" s="405">
        <v>2.93965517241379</v>
      </c>
      <c r="P374" s="393">
        <f t="shared" si="93"/>
        <v>1</v>
      </c>
      <c r="Q374" s="393">
        <f t="shared" si="94"/>
        <v>0.35</v>
      </c>
      <c r="R374" s="393">
        <f t="shared" si="95"/>
        <v>4.2896551724137897</v>
      </c>
      <c r="S374" s="370"/>
    </row>
    <row r="375" spans="1:19" ht="21" outlineLevel="1">
      <c r="A375" s="392" t="s">
        <v>1751</v>
      </c>
      <c r="B375" s="392" t="s">
        <v>1755</v>
      </c>
      <c r="C375" s="392" t="s">
        <v>1059</v>
      </c>
      <c r="D375" s="248" t="s">
        <v>1238</v>
      </c>
      <c r="E375" s="248" t="s">
        <v>1756</v>
      </c>
      <c r="F375" s="248" t="s">
        <v>1240</v>
      </c>
      <c r="G375" s="370" t="s">
        <v>1063</v>
      </c>
      <c r="H375" s="395"/>
      <c r="I375" s="395"/>
      <c r="J375" s="395">
        <f t="shared" si="77"/>
        <v>0</v>
      </c>
      <c r="K375" s="395">
        <f t="shared" si="78"/>
        <v>0</v>
      </c>
      <c r="L375" s="395">
        <f t="shared" si="79"/>
        <v>0</v>
      </c>
      <c r="M375" s="395">
        <f t="shared" si="80"/>
        <v>0</v>
      </c>
      <c r="N375" s="415"/>
      <c r="O375" s="405">
        <v>5.0172413793103496</v>
      </c>
      <c r="P375" s="393">
        <f>P373</f>
        <v>0.9</v>
      </c>
      <c r="Q375" s="393">
        <f t="shared" si="94"/>
        <v>0.53</v>
      </c>
      <c r="R375" s="393">
        <f t="shared" si="95"/>
        <v>6.4472413793103502</v>
      </c>
      <c r="S375" s="370"/>
    </row>
    <row r="376" spans="1:19">
      <c r="A376" s="392" t="s">
        <v>1742</v>
      </c>
      <c r="B376" s="392" t="s">
        <v>1757</v>
      </c>
      <c r="C376" s="392" t="s">
        <v>1056</v>
      </c>
      <c r="D376" s="394" t="s">
        <v>1292</v>
      </c>
      <c r="E376" s="248"/>
      <c r="F376" s="248"/>
      <c r="G376" s="370"/>
      <c r="H376" s="395"/>
      <c r="I376" s="395"/>
      <c r="J376" s="395"/>
      <c r="K376" s="395"/>
      <c r="L376" s="395"/>
      <c r="M376" s="395"/>
      <c r="N376" s="416"/>
      <c r="O376" s="393"/>
      <c r="P376" s="393"/>
      <c r="Q376" s="393"/>
      <c r="R376" s="395"/>
      <c r="S376" s="370"/>
    </row>
    <row r="377" spans="1:19" outlineLevel="1">
      <c r="A377" s="392" t="s">
        <v>1757</v>
      </c>
      <c r="B377" s="392" t="s">
        <v>1758</v>
      </c>
      <c r="C377" s="392" t="s">
        <v>1059</v>
      </c>
      <c r="D377" s="248" t="s">
        <v>1294</v>
      </c>
      <c r="E377" s="248" t="s">
        <v>1295</v>
      </c>
      <c r="F377" s="248" t="s">
        <v>1296</v>
      </c>
      <c r="G377" s="370" t="s">
        <v>1297</v>
      </c>
      <c r="H377" s="395"/>
      <c r="I377" s="395"/>
      <c r="J377" s="395">
        <f t="shared" si="77"/>
        <v>0</v>
      </c>
      <c r="K377" s="395">
        <f t="shared" si="78"/>
        <v>0</v>
      </c>
      <c r="L377" s="395">
        <f t="shared" si="79"/>
        <v>0</v>
      </c>
      <c r="M377" s="395">
        <f t="shared" si="80"/>
        <v>0</v>
      </c>
      <c r="N377" s="415"/>
      <c r="O377" s="393">
        <v>10.3448275862069</v>
      </c>
      <c r="P377" s="393">
        <v>5</v>
      </c>
      <c r="Q377" s="393">
        <f t="shared" ref="Q377:Q391" si="96">ROUND((O377+P377)*0.09,2)</f>
        <v>1.38</v>
      </c>
      <c r="R377" s="393">
        <f t="shared" ref="R377:R391" si="97">P377+O377+Q377</f>
        <v>16.724827586206899</v>
      </c>
      <c r="S377" s="370"/>
    </row>
    <row r="378" spans="1:19">
      <c r="A378" s="392" t="s">
        <v>1742</v>
      </c>
      <c r="B378" s="392" t="s">
        <v>1759</v>
      </c>
      <c r="C378" s="392" t="s">
        <v>1056</v>
      </c>
      <c r="D378" s="394" t="s">
        <v>1359</v>
      </c>
      <c r="E378" s="248"/>
      <c r="F378" s="248"/>
      <c r="G378" s="370"/>
      <c r="H378" s="395"/>
      <c r="I378" s="395"/>
      <c r="J378" s="395"/>
      <c r="K378" s="395"/>
      <c r="L378" s="395"/>
      <c r="M378" s="395"/>
      <c r="N378" s="416"/>
      <c r="O378" s="393"/>
      <c r="P378" s="393"/>
      <c r="Q378" s="393"/>
      <c r="R378" s="395"/>
      <c r="S378" s="370"/>
    </row>
    <row r="379" spans="1:19" ht="21" outlineLevel="1">
      <c r="A379" s="392" t="s">
        <v>1759</v>
      </c>
      <c r="B379" s="392" t="s">
        <v>1760</v>
      </c>
      <c r="C379" s="392" t="s">
        <v>1059</v>
      </c>
      <c r="D379" s="248" t="s">
        <v>1361</v>
      </c>
      <c r="E379" s="248" t="s">
        <v>1362</v>
      </c>
      <c r="F379" s="248" t="s">
        <v>1363</v>
      </c>
      <c r="G379" s="370" t="s">
        <v>1297</v>
      </c>
      <c r="H379" s="395"/>
      <c r="I379" s="395"/>
      <c r="J379" s="395">
        <f t="shared" si="77"/>
        <v>0</v>
      </c>
      <c r="K379" s="395">
        <f t="shared" si="78"/>
        <v>0</v>
      </c>
      <c r="L379" s="395">
        <f t="shared" si="79"/>
        <v>0</v>
      </c>
      <c r="M379" s="395">
        <f t="shared" si="80"/>
        <v>0</v>
      </c>
      <c r="N379" s="415"/>
      <c r="O379" s="405">
        <v>2.7586206896551699</v>
      </c>
      <c r="P379" s="393">
        <f t="shared" ref="P379:P391" si="98">P138</f>
        <v>6.5</v>
      </c>
      <c r="Q379" s="393">
        <f t="shared" si="96"/>
        <v>0.83</v>
      </c>
      <c r="R379" s="393">
        <f t="shared" si="97"/>
        <v>10.088620689655171</v>
      </c>
      <c r="S379" s="370"/>
    </row>
    <row r="380" spans="1:19" ht="21" outlineLevel="1">
      <c r="A380" s="392" t="s">
        <v>1759</v>
      </c>
      <c r="B380" s="392" t="s">
        <v>1761</v>
      </c>
      <c r="C380" s="392" t="s">
        <v>1059</v>
      </c>
      <c r="D380" s="248" t="s">
        <v>1365</v>
      </c>
      <c r="E380" s="248" t="s">
        <v>1362</v>
      </c>
      <c r="F380" s="248" t="s">
        <v>1363</v>
      </c>
      <c r="G380" s="370" t="s">
        <v>1297</v>
      </c>
      <c r="H380" s="395"/>
      <c r="I380" s="395"/>
      <c r="J380" s="395">
        <f t="shared" si="77"/>
        <v>0</v>
      </c>
      <c r="K380" s="395">
        <f t="shared" si="78"/>
        <v>0</v>
      </c>
      <c r="L380" s="395">
        <f t="shared" si="79"/>
        <v>0</v>
      </c>
      <c r="M380" s="395">
        <f t="shared" si="80"/>
        <v>0</v>
      </c>
      <c r="N380" s="415"/>
      <c r="O380" s="405">
        <v>4.31034482758621</v>
      </c>
      <c r="P380" s="393">
        <f t="shared" si="98"/>
        <v>6.5</v>
      </c>
      <c r="Q380" s="393">
        <f t="shared" si="96"/>
        <v>0.97</v>
      </c>
      <c r="R380" s="393">
        <f t="shared" si="97"/>
        <v>11.780344827586211</v>
      </c>
      <c r="S380" s="370"/>
    </row>
    <row r="381" spans="1:19" ht="21" outlineLevel="1">
      <c r="A381" s="392" t="s">
        <v>1759</v>
      </c>
      <c r="B381" s="392" t="s">
        <v>1762</v>
      </c>
      <c r="C381" s="392" t="s">
        <v>1059</v>
      </c>
      <c r="D381" s="248" t="s">
        <v>1367</v>
      </c>
      <c r="E381" s="248" t="s">
        <v>1362</v>
      </c>
      <c r="F381" s="248" t="s">
        <v>1363</v>
      </c>
      <c r="G381" s="370" t="s">
        <v>1297</v>
      </c>
      <c r="H381" s="395"/>
      <c r="I381" s="395"/>
      <c r="J381" s="395">
        <f t="shared" si="77"/>
        <v>0</v>
      </c>
      <c r="K381" s="395">
        <f t="shared" si="78"/>
        <v>0</v>
      </c>
      <c r="L381" s="395">
        <f t="shared" si="79"/>
        <v>0</v>
      </c>
      <c r="M381" s="395">
        <f t="shared" si="80"/>
        <v>0</v>
      </c>
      <c r="N381" s="415"/>
      <c r="O381" s="405">
        <v>5.9482758620689697</v>
      </c>
      <c r="P381" s="393">
        <f t="shared" si="98"/>
        <v>6.5</v>
      </c>
      <c r="Q381" s="393">
        <f t="shared" si="96"/>
        <v>1.1200000000000001</v>
      </c>
      <c r="R381" s="393">
        <f t="shared" si="97"/>
        <v>13.568275862068969</v>
      </c>
      <c r="S381" s="370"/>
    </row>
    <row r="382" spans="1:19" ht="21" outlineLevel="1">
      <c r="A382" s="392" t="s">
        <v>1759</v>
      </c>
      <c r="B382" s="392" t="s">
        <v>1763</v>
      </c>
      <c r="C382" s="392" t="s">
        <v>1059</v>
      </c>
      <c r="D382" s="248" t="s">
        <v>1369</v>
      </c>
      <c r="E382" s="248" t="s">
        <v>1362</v>
      </c>
      <c r="F382" s="248" t="s">
        <v>1363</v>
      </c>
      <c r="G382" s="370" t="s">
        <v>1297</v>
      </c>
      <c r="H382" s="395"/>
      <c r="I382" s="395"/>
      <c r="J382" s="395">
        <f t="shared" si="77"/>
        <v>0</v>
      </c>
      <c r="K382" s="395">
        <f t="shared" si="78"/>
        <v>0</v>
      </c>
      <c r="L382" s="395">
        <f t="shared" si="79"/>
        <v>0</v>
      </c>
      <c r="M382" s="395">
        <f t="shared" si="80"/>
        <v>0</v>
      </c>
      <c r="N382" s="415"/>
      <c r="O382" s="405">
        <v>7.4137931034482802</v>
      </c>
      <c r="P382" s="393">
        <f t="shared" si="98"/>
        <v>6.5</v>
      </c>
      <c r="Q382" s="393">
        <f t="shared" si="96"/>
        <v>1.25</v>
      </c>
      <c r="R382" s="393">
        <f t="shared" si="97"/>
        <v>15.163793103448281</v>
      </c>
      <c r="S382" s="370"/>
    </row>
    <row r="383" spans="1:19" ht="21" outlineLevel="1">
      <c r="A383" s="392" t="s">
        <v>1759</v>
      </c>
      <c r="B383" s="392" t="s">
        <v>1764</v>
      </c>
      <c r="C383" s="392" t="s">
        <v>1059</v>
      </c>
      <c r="D383" s="248" t="s">
        <v>1371</v>
      </c>
      <c r="E383" s="248" t="s">
        <v>1362</v>
      </c>
      <c r="F383" s="248" t="s">
        <v>1363</v>
      </c>
      <c r="G383" s="370" t="s">
        <v>1297</v>
      </c>
      <c r="H383" s="395"/>
      <c r="I383" s="395"/>
      <c r="J383" s="395">
        <f t="shared" si="77"/>
        <v>0</v>
      </c>
      <c r="K383" s="395">
        <f t="shared" si="78"/>
        <v>0</v>
      </c>
      <c r="L383" s="395">
        <f t="shared" si="79"/>
        <v>0</v>
      </c>
      <c r="M383" s="395">
        <f t="shared" si="80"/>
        <v>0</v>
      </c>
      <c r="N383" s="415"/>
      <c r="O383" s="405">
        <v>3.0172413793103501</v>
      </c>
      <c r="P383" s="393">
        <f t="shared" si="98"/>
        <v>6.5</v>
      </c>
      <c r="Q383" s="393">
        <f t="shared" si="96"/>
        <v>0.86</v>
      </c>
      <c r="R383" s="393">
        <f t="shared" si="97"/>
        <v>10.37724137931035</v>
      </c>
      <c r="S383" s="370"/>
    </row>
    <row r="384" spans="1:19" ht="21" outlineLevel="1">
      <c r="A384" s="392" t="s">
        <v>1759</v>
      </c>
      <c r="B384" s="392" t="s">
        <v>1765</v>
      </c>
      <c r="C384" s="392" t="s">
        <v>1059</v>
      </c>
      <c r="D384" s="248" t="s">
        <v>1373</v>
      </c>
      <c r="E384" s="248" t="s">
        <v>1362</v>
      </c>
      <c r="F384" s="248" t="s">
        <v>1363</v>
      </c>
      <c r="G384" s="370" t="s">
        <v>1297</v>
      </c>
      <c r="H384" s="395"/>
      <c r="I384" s="395"/>
      <c r="J384" s="395">
        <f t="shared" si="77"/>
        <v>0</v>
      </c>
      <c r="K384" s="395">
        <f t="shared" si="78"/>
        <v>0</v>
      </c>
      <c r="L384" s="395">
        <f t="shared" si="79"/>
        <v>0</v>
      </c>
      <c r="M384" s="395">
        <f t="shared" si="80"/>
        <v>0</v>
      </c>
      <c r="N384" s="415"/>
      <c r="O384" s="405">
        <v>5</v>
      </c>
      <c r="P384" s="393">
        <f t="shared" si="98"/>
        <v>6.5</v>
      </c>
      <c r="Q384" s="393">
        <f t="shared" si="96"/>
        <v>1.04</v>
      </c>
      <c r="R384" s="393">
        <f t="shared" si="97"/>
        <v>12.54</v>
      </c>
      <c r="S384" s="370"/>
    </row>
    <row r="385" spans="1:19" ht="21" outlineLevel="1">
      <c r="A385" s="392" t="s">
        <v>1759</v>
      </c>
      <c r="B385" s="392" t="s">
        <v>1766</v>
      </c>
      <c r="C385" s="392" t="s">
        <v>1059</v>
      </c>
      <c r="D385" s="248" t="s">
        <v>1375</v>
      </c>
      <c r="E385" s="248" t="s">
        <v>1362</v>
      </c>
      <c r="F385" s="248" t="s">
        <v>1363</v>
      </c>
      <c r="G385" s="370" t="s">
        <v>1297</v>
      </c>
      <c r="H385" s="395"/>
      <c r="I385" s="395"/>
      <c r="J385" s="395">
        <f t="shared" si="77"/>
        <v>0</v>
      </c>
      <c r="K385" s="395">
        <f t="shared" si="78"/>
        <v>0</v>
      </c>
      <c r="L385" s="395">
        <f t="shared" si="79"/>
        <v>0</v>
      </c>
      <c r="M385" s="395">
        <f t="shared" si="80"/>
        <v>0</v>
      </c>
      <c r="N385" s="415"/>
      <c r="O385" s="405">
        <v>10.3448275862069</v>
      </c>
      <c r="P385" s="393">
        <f t="shared" si="98"/>
        <v>20</v>
      </c>
      <c r="Q385" s="393">
        <f t="shared" si="96"/>
        <v>2.73</v>
      </c>
      <c r="R385" s="393">
        <f t="shared" si="97"/>
        <v>33.074827586206901</v>
      </c>
      <c r="S385" s="370"/>
    </row>
    <row r="386" spans="1:19" ht="21" outlineLevel="1">
      <c r="A386" s="392" t="s">
        <v>1759</v>
      </c>
      <c r="B386" s="392" t="s">
        <v>1767</v>
      </c>
      <c r="C386" s="392" t="s">
        <v>1059</v>
      </c>
      <c r="D386" s="248" t="s">
        <v>1377</v>
      </c>
      <c r="E386" s="248" t="s">
        <v>1378</v>
      </c>
      <c r="F386" s="248" t="s">
        <v>1379</v>
      </c>
      <c r="G386" s="370" t="s">
        <v>1297</v>
      </c>
      <c r="H386" s="395"/>
      <c r="I386" s="395"/>
      <c r="J386" s="395">
        <f t="shared" si="77"/>
        <v>0</v>
      </c>
      <c r="K386" s="395">
        <f t="shared" si="78"/>
        <v>0</v>
      </c>
      <c r="L386" s="395">
        <f t="shared" si="79"/>
        <v>0</v>
      </c>
      <c r="M386" s="395">
        <f t="shared" si="80"/>
        <v>0</v>
      </c>
      <c r="N386" s="415"/>
      <c r="O386" s="405">
        <v>4.8275862068965498</v>
      </c>
      <c r="P386" s="393">
        <f t="shared" si="98"/>
        <v>7</v>
      </c>
      <c r="Q386" s="393">
        <f t="shared" si="96"/>
        <v>1.06</v>
      </c>
      <c r="R386" s="393">
        <f t="shared" si="97"/>
        <v>12.88758620689655</v>
      </c>
      <c r="S386" s="370"/>
    </row>
    <row r="387" spans="1:19" ht="21" outlineLevel="1">
      <c r="A387" s="392" t="s">
        <v>1759</v>
      </c>
      <c r="B387" s="392" t="s">
        <v>1768</v>
      </c>
      <c r="C387" s="392" t="s">
        <v>1059</v>
      </c>
      <c r="D387" s="248" t="s">
        <v>1381</v>
      </c>
      <c r="E387" s="248" t="s">
        <v>1382</v>
      </c>
      <c r="F387" s="248" t="s">
        <v>1379</v>
      </c>
      <c r="G387" s="370" t="s">
        <v>1297</v>
      </c>
      <c r="H387" s="395"/>
      <c r="I387" s="395"/>
      <c r="J387" s="395">
        <f t="shared" si="77"/>
        <v>0</v>
      </c>
      <c r="K387" s="395">
        <f t="shared" si="78"/>
        <v>0</v>
      </c>
      <c r="L387" s="395">
        <f t="shared" si="79"/>
        <v>0</v>
      </c>
      <c r="M387" s="395">
        <f t="shared" si="80"/>
        <v>0</v>
      </c>
      <c r="N387" s="415"/>
      <c r="O387" s="405">
        <v>3.5344827586206899</v>
      </c>
      <c r="P387" s="393">
        <f t="shared" si="98"/>
        <v>7</v>
      </c>
      <c r="Q387" s="393">
        <f t="shared" si="96"/>
        <v>0.95</v>
      </c>
      <c r="R387" s="393">
        <f t="shared" si="97"/>
        <v>11.48448275862069</v>
      </c>
      <c r="S387" s="370"/>
    </row>
    <row r="388" spans="1:19" ht="21" outlineLevel="1">
      <c r="A388" s="392" t="s">
        <v>1759</v>
      </c>
      <c r="B388" s="392" t="s">
        <v>1769</v>
      </c>
      <c r="C388" s="392" t="s">
        <v>1059</v>
      </c>
      <c r="D388" s="248" t="s">
        <v>1384</v>
      </c>
      <c r="E388" s="248" t="s">
        <v>1385</v>
      </c>
      <c r="F388" s="248" t="s">
        <v>1379</v>
      </c>
      <c r="G388" s="370" t="s">
        <v>1297</v>
      </c>
      <c r="H388" s="395"/>
      <c r="I388" s="395"/>
      <c r="J388" s="395">
        <f t="shared" si="77"/>
        <v>0</v>
      </c>
      <c r="K388" s="395">
        <f t="shared" si="78"/>
        <v>0</v>
      </c>
      <c r="L388" s="395">
        <f t="shared" si="79"/>
        <v>0</v>
      </c>
      <c r="M388" s="395">
        <f t="shared" si="80"/>
        <v>0</v>
      </c>
      <c r="N388" s="415"/>
      <c r="O388" s="405">
        <v>7.7586206896551699</v>
      </c>
      <c r="P388" s="393">
        <f t="shared" si="98"/>
        <v>7</v>
      </c>
      <c r="Q388" s="393">
        <f t="shared" si="96"/>
        <v>1.33</v>
      </c>
      <c r="R388" s="393">
        <f t="shared" si="97"/>
        <v>16.088620689655173</v>
      </c>
      <c r="S388" s="370"/>
    </row>
    <row r="389" spans="1:19" ht="31.5" outlineLevel="1">
      <c r="A389" s="392" t="s">
        <v>1759</v>
      </c>
      <c r="B389" s="392" t="s">
        <v>1770</v>
      </c>
      <c r="C389" s="392" t="s">
        <v>1059</v>
      </c>
      <c r="D389" s="248" t="s">
        <v>1387</v>
      </c>
      <c r="E389" s="248" t="s">
        <v>1388</v>
      </c>
      <c r="F389" s="248" t="s">
        <v>1379</v>
      </c>
      <c r="G389" s="370" t="s">
        <v>1297</v>
      </c>
      <c r="H389" s="395"/>
      <c r="I389" s="395"/>
      <c r="J389" s="395">
        <f t="shared" si="77"/>
        <v>0</v>
      </c>
      <c r="K389" s="395">
        <f t="shared" si="78"/>
        <v>0</v>
      </c>
      <c r="L389" s="395">
        <f t="shared" si="79"/>
        <v>0</v>
      </c>
      <c r="M389" s="395">
        <f t="shared" si="80"/>
        <v>0</v>
      </c>
      <c r="N389" s="415"/>
      <c r="O389" s="405">
        <v>9.6551724137930997</v>
      </c>
      <c r="P389" s="393">
        <f t="shared" si="98"/>
        <v>7</v>
      </c>
      <c r="Q389" s="393">
        <f t="shared" si="96"/>
        <v>1.5</v>
      </c>
      <c r="R389" s="393">
        <f t="shared" si="97"/>
        <v>18.1551724137931</v>
      </c>
      <c r="S389" s="370"/>
    </row>
    <row r="390" spans="1:19" ht="21" outlineLevel="1">
      <c r="A390" s="392" t="s">
        <v>1759</v>
      </c>
      <c r="B390" s="392" t="s">
        <v>1771</v>
      </c>
      <c r="C390" s="392" t="s">
        <v>1059</v>
      </c>
      <c r="D390" s="248" t="s">
        <v>1390</v>
      </c>
      <c r="E390" s="248" t="s">
        <v>1391</v>
      </c>
      <c r="F390" s="248" t="s">
        <v>1379</v>
      </c>
      <c r="G390" s="370" t="s">
        <v>1297</v>
      </c>
      <c r="H390" s="395"/>
      <c r="I390" s="395"/>
      <c r="J390" s="395">
        <f t="shared" ref="J390:J406" si="99">H390*R390</f>
        <v>0</v>
      </c>
      <c r="K390" s="395">
        <f t="shared" ref="K390:K406" si="100">H390*R390*(1+N390)</f>
        <v>0</v>
      </c>
      <c r="L390" s="395">
        <f t="shared" ref="L390:L406" si="101">I390*R390</f>
        <v>0</v>
      </c>
      <c r="M390" s="395">
        <f t="shared" ref="M390:M406" si="102">I390*R390*(1+N390)</f>
        <v>0</v>
      </c>
      <c r="N390" s="415"/>
      <c r="O390" s="405">
        <v>8.3620689655172402</v>
      </c>
      <c r="P390" s="393">
        <f t="shared" si="98"/>
        <v>7</v>
      </c>
      <c r="Q390" s="393">
        <f t="shared" si="96"/>
        <v>1.38</v>
      </c>
      <c r="R390" s="393">
        <f t="shared" si="97"/>
        <v>16.742068965517241</v>
      </c>
      <c r="S390" s="370"/>
    </row>
    <row r="391" spans="1:19" ht="21" outlineLevel="1">
      <c r="A391" s="392" t="s">
        <v>1759</v>
      </c>
      <c r="B391" s="392" t="s">
        <v>1772</v>
      </c>
      <c r="C391" s="392" t="s">
        <v>1059</v>
      </c>
      <c r="D391" s="248" t="s">
        <v>1393</v>
      </c>
      <c r="E391" s="248" t="s">
        <v>1394</v>
      </c>
      <c r="F391" s="248" t="s">
        <v>1363</v>
      </c>
      <c r="G391" s="370" t="s">
        <v>1297</v>
      </c>
      <c r="H391" s="395"/>
      <c r="I391" s="395"/>
      <c r="J391" s="395">
        <f t="shared" si="99"/>
        <v>0</v>
      </c>
      <c r="K391" s="395">
        <f t="shared" si="100"/>
        <v>0</v>
      </c>
      <c r="L391" s="395">
        <f t="shared" si="101"/>
        <v>0</v>
      </c>
      <c r="M391" s="395">
        <f t="shared" si="102"/>
        <v>0</v>
      </c>
      <c r="N391" s="415"/>
      <c r="O391" s="405">
        <v>1.3793103448275901</v>
      </c>
      <c r="P391" s="393">
        <f t="shared" si="98"/>
        <v>4</v>
      </c>
      <c r="Q391" s="393">
        <f t="shared" si="96"/>
        <v>0.48</v>
      </c>
      <c r="R391" s="393">
        <f t="shared" si="97"/>
        <v>5.8593103448275894</v>
      </c>
      <c r="S391" s="370"/>
    </row>
    <row r="392" spans="1:19">
      <c r="A392" s="392" t="s">
        <v>1742</v>
      </c>
      <c r="B392" s="392" t="s">
        <v>1773</v>
      </c>
      <c r="C392" s="392" t="s">
        <v>1056</v>
      </c>
      <c r="D392" s="394" t="s">
        <v>1774</v>
      </c>
      <c r="E392" s="248"/>
      <c r="F392" s="248"/>
      <c r="G392" s="370"/>
      <c r="H392" s="395"/>
      <c r="I392" s="395"/>
      <c r="J392" s="395"/>
      <c r="K392" s="395"/>
      <c r="L392" s="395"/>
      <c r="M392" s="395"/>
      <c r="N392" s="416"/>
      <c r="O392" s="393"/>
      <c r="P392" s="393"/>
      <c r="Q392" s="393"/>
      <c r="R392" s="395"/>
      <c r="S392" s="370"/>
    </row>
    <row r="393" spans="1:19" ht="73.5" outlineLevel="1">
      <c r="A393" s="392" t="s">
        <v>1773</v>
      </c>
      <c r="B393" s="392" t="s">
        <v>1775</v>
      </c>
      <c r="C393" s="392" t="s">
        <v>1059</v>
      </c>
      <c r="D393" s="248" t="s">
        <v>1776</v>
      </c>
      <c r="E393" s="248"/>
      <c r="F393" s="248" t="s">
        <v>1777</v>
      </c>
      <c r="G393" s="370" t="s">
        <v>1099</v>
      </c>
      <c r="H393" s="395"/>
      <c r="I393" s="395"/>
      <c r="J393" s="395">
        <f t="shared" si="99"/>
        <v>0</v>
      </c>
      <c r="K393" s="395">
        <f t="shared" si="100"/>
        <v>0</v>
      </c>
      <c r="L393" s="395">
        <f t="shared" si="101"/>
        <v>0</v>
      </c>
      <c r="M393" s="395">
        <f t="shared" si="102"/>
        <v>0</v>
      </c>
      <c r="N393" s="415"/>
      <c r="O393" s="406"/>
      <c r="P393" s="393">
        <v>150</v>
      </c>
      <c r="Q393" s="393">
        <f t="shared" ref="Q393:Q406" si="103">ROUND((O393+P393)*0.09,2)</f>
        <v>13.5</v>
      </c>
      <c r="R393" s="393">
        <f t="shared" ref="R393:R406" si="104">P393+O393+Q393</f>
        <v>163.5</v>
      </c>
      <c r="S393" s="370" t="s">
        <v>1778</v>
      </c>
    </row>
    <row r="394" spans="1:19" ht="21" outlineLevel="1">
      <c r="A394" s="392" t="s">
        <v>1773</v>
      </c>
      <c r="B394" s="392" t="s">
        <v>1779</v>
      </c>
      <c r="C394" s="392" t="s">
        <v>1059</v>
      </c>
      <c r="D394" s="248" t="s">
        <v>1512</v>
      </c>
      <c r="E394" s="248"/>
      <c r="F394" s="248" t="s">
        <v>1510</v>
      </c>
      <c r="G394" s="370" t="s">
        <v>1099</v>
      </c>
      <c r="H394" s="395"/>
      <c r="I394" s="395"/>
      <c r="J394" s="395">
        <f t="shared" si="99"/>
        <v>0</v>
      </c>
      <c r="K394" s="395">
        <f t="shared" si="100"/>
        <v>0</v>
      </c>
      <c r="L394" s="395">
        <f t="shared" si="101"/>
        <v>0</v>
      </c>
      <c r="M394" s="395">
        <f t="shared" si="102"/>
        <v>0</v>
      </c>
      <c r="N394" s="415"/>
      <c r="O394" s="405">
        <v>21.379310344827601</v>
      </c>
      <c r="P394" s="393">
        <v>30</v>
      </c>
      <c r="Q394" s="393">
        <f t="shared" si="103"/>
        <v>4.62</v>
      </c>
      <c r="R394" s="393">
        <f t="shared" si="104"/>
        <v>55.999310344827599</v>
      </c>
      <c r="S394" s="370"/>
    </row>
    <row r="395" spans="1:19" ht="21">
      <c r="A395" s="392" t="s">
        <v>1051</v>
      </c>
      <c r="B395" s="392" t="s">
        <v>1780</v>
      </c>
      <c r="C395" s="392" t="s">
        <v>1053</v>
      </c>
      <c r="D395" s="394" t="s">
        <v>1781</v>
      </c>
      <c r="E395" s="248"/>
      <c r="F395" s="248"/>
      <c r="G395" s="370"/>
      <c r="H395" s="395"/>
      <c r="I395" s="395"/>
      <c r="J395" s="395"/>
      <c r="K395" s="395"/>
      <c r="L395" s="395"/>
      <c r="M395" s="395"/>
      <c r="N395" s="416"/>
      <c r="O395" s="393"/>
      <c r="P395" s="393"/>
      <c r="Q395" s="393"/>
      <c r="R395" s="393"/>
      <c r="S395" s="370"/>
    </row>
    <row r="396" spans="1:19">
      <c r="A396" s="392" t="s">
        <v>1780</v>
      </c>
      <c r="B396" s="392" t="s">
        <v>1782</v>
      </c>
      <c r="C396" s="392" t="s">
        <v>1056</v>
      </c>
      <c r="D396" s="394" t="s">
        <v>1180</v>
      </c>
      <c r="E396" s="248"/>
      <c r="F396" s="248"/>
      <c r="G396" s="370"/>
      <c r="H396" s="395"/>
      <c r="I396" s="395"/>
      <c r="J396" s="395"/>
      <c r="K396" s="395"/>
      <c r="L396" s="395"/>
      <c r="M396" s="395"/>
      <c r="N396" s="416"/>
      <c r="O396" s="393"/>
      <c r="P396" s="393"/>
      <c r="Q396" s="393"/>
      <c r="R396" s="395"/>
      <c r="S396" s="370"/>
    </row>
    <row r="397" spans="1:19" ht="31.5" outlineLevel="1">
      <c r="A397" s="392" t="s">
        <v>1782</v>
      </c>
      <c r="B397" s="392" t="s">
        <v>1783</v>
      </c>
      <c r="C397" s="392" t="s">
        <v>1059</v>
      </c>
      <c r="D397" s="248" t="s">
        <v>1565</v>
      </c>
      <c r="E397" s="248" t="s">
        <v>1202</v>
      </c>
      <c r="F397" s="248" t="s">
        <v>1566</v>
      </c>
      <c r="G397" s="370" t="s">
        <v>1063</v>
      </c>
      <c r="H397" s="395"/>
      <c r="I397" s="395"/>
      <c r="J397" s="395">
        <f t="shared" si="99"/>
        <v>0</v>
      </c>
      <c r="K397" s="395">
        <f t="shared" si="100"/>
        <v>0</v>
      </c>
      <c r="L397" s="395">
        <f t="shared" si="101"/>
        <v>0</v>
      </c>
      <c r="M397" s="395">
        <f t="shared" si="102"/>
        <v>0</v>
      </c>
      <c r="N397" s="415"/>
      <c r="O397" s="405">
        <v>0.94827586206896597</v>
      </c>
      <c r="P397" s="393">
        <f t="shared" ref="P397:P401" si="105">P72</f>
        <v>6.5</v>
      </c>
      <c r="Q397" s="393">
        <f t="shared" si="103"/>
        <v>0.67</v>
      </c>
      <c r="R397" s="393">
        <f t="shared" si="104"/>
        <v>8.1182758620689661</v>
      </c>
      <c r="S397" s="370"/>
    </row>
    <row r="398" spans="1:19" ht="31.5" outlineLevel="1">
      <c r="A398" s="392" t="s">
        <v>1782</v>
      </c>
      <c r="B398" s="392" t="s">
        <v>1784</v>
      </c>
      <c r="C398" s="392" t="s">
        <v>1059</v>
      </c>
      <c r="D398" s="248" t="s">
        <v>1565</v>
      </c>
      <c r="E398" s="248" t="s">
        <v>1205</v>
      </c>
      <c r="F398" s="248" t="s">
        <v>1566</v>
      </c>
      <c r="G398" s="370" t="s">
        <v>1063</v>
      </c>
      <c r="H398" s="395"/>
      <c r="I398" s="395"/>
      <c r="J398" s="395">
        <f t="shared" si="99"/>
        <v>0</v>
      </c>
      <c r="K398" s="395">
        <f t="shared" si="100"/>
        <v>0</v>
      </c>
      <c r="L398" s="395">
        <f t="shared" si="101"/>
        <v>0</v>
      </c>
      <c r="M398" s="395">
        <f t="shared" si="102"/>
        <v>0</v>
      </c>
      <c r="N398" s="415"/>
      <c r="O398" s="405">
        <v>1.3534482758620701</v>
      </c>
      <c r="P398" s="393">
        <f t="shared" si="105"/>
        <v>7</v>
      </c>
      <c r="Q398" s="393">
        <f t="shared" si="103"/>
        <v>0.75</v>
      </c>
      <c r="R398" s="393">
        <f t="shared" si="104"/>
        <v>9.1034482758620694</v>
      </c>
      <c r="S398" s="370"/>
    </row>
    <row r="399" spans="1:19" ht="31.5" outlineLevel="1">
      <c r="A399" s="392" t="s">
        <v>1782</v>
      </c>
      <c r="B399" s="392" t="s">
        <v>1785</v>
      </c>
      <c r="C399" s="392" t="s">
        <v>1059</v>
      </c>
      <c r="D399" s="248" t="s">
        <v>1565</v>
      </c>
      <c r="E399" s="248" t="s">
        <v>1207</v>
      </c>
      <c r="F399" s="248" t="s">
        <v>1566</v>
      </c>
      <c r="G399" s="370" t="s">
        <v>1063</v>
      </c>
      <c r="H399" s="395"/>
      <c r="I399" s="395"/>
      <c r="J399" s="395">
        <f t="shared" si="99"/>
        <v>0</v>
      </c>
      <c r="K399" s="395">
        <f t="shared" si="100"/>
        <v>0</v>
      </c>
      <c r="L399" s="395">
        <f t="shared" si="101"/>
        <v>0</v>
      </c>
      <c r="M399" s="395">
        <f t="shared" si="102"/>
        <v>0</v>
      </c>
      <c r="N399" s="415"/>
      <c r="O399" s="405">
        <v>2.2155172413793101</v>
      </c>
      <c r="P399" s="393">
        <f t="shared" si="105"/>
        <v>7.2</v>
      </c>
      <c r="Q399" s="393">
        <f t="shared" si="103"/>
        <v>0.85</v>
      </c>
      <c r="R399" s="393">
        <f t="shared" si="104"/>
        <v>10.26551724137931</v>
      </c>
      <c r="S399" s="370"/>
    </row>
    <row r="400" spans="1:19" ht="31.5" outlineLevel="1">
      <c r="A400" s="392" t="s">
        <v>1782</v>
      </c>
      <c r="B400" s="392" t="s">
        <v>1786</v>
      </c>
      <c r="C400" s="392" t="s">
        <v>1059</v>
      </c>
      <c r="D400" s="248" t="s">
        <v>1565</v>
      </c>
      <c r="E400" s="248" t="s">
        <v>1209</v>
      </c>
      <c r="F400" s="248" t="s">
        <v>1566</v>
      </c>
      <c r="G400" s="370" t="s">
        <v>1063</v>
      </c>
      <c r="H400" s="395"/>
      <c r="I400" s="395"/>
      <c r="J400" s="395">
        <f t="shared" si="99"/>
        <v>0</v>
      </c>
      <c r="K400" s="395">
        <f t="shared" si="100"/>
        <v>0</v>
      </c>
      <c r="L400" s="395">
        <f t="shared" si="101"/>
        <v>0</v>
      </c>
      <c r="M400" s="395">
        <f t="shared" si="102"/>
        <v>0</v>
      </c>
      <c r="N400" s="415"/>
      <c r="O400" s="405">
        <v>2.9310344827586201</v>
      </c>
      <c r="P400" s="393">
        <f t="shared" si="105"/>
        <v>8.6</v>
      </c>
      <c r="Q400" s="393">
        <f t="shared" si="103"/>
        <v>1.04</v>
      </c>
      <c r="R400" s="393">
        <f t="shared" si="104"/>
        <v>12.57103448275862</v>
      </c>
      <c r="S400" s="370"/>
    </row>
    <row r="401" spans="1:19" ht="31.5" outlineLevel="1">
      <c r="A401" s="392" t="s">
        <v>1782</v>
      </c>
      <c r="B401" s="392" t="s">
        <v>1787</v>
      </c>
      <c r="C401" s="392" t="s">
        <v>1059</v>
      </c>
      <c r="D401" s="248" t="s">
        <v>1565</v>
      </c>
      <c r="E401" s="248" t="s">
        <v>1211</v>
      </c>
      <c r="F401" s="248" t="s">
        <v>1566</v>
      </c>
      <c r="G401" s="370" t="s">
        <v>1063</v>
      </c>
      <c r="H401" s="395"/>
      <c r="I401" s="395"/>
      <c r="J401" s="395">
        <f t="shared" si="99"/>
        <v>0</v>
      </c>
      <c r="K401" s="395">
        <f t="shared" si="100"/>
        <v>0</v>
      </c>
      <c r="L401" s="395">
        <f t="shared" si="101"/>
        <v>0</v>
      </c>
      <c r="M401" s="395">
        <f t="shared" si="102"/>
        <v>0</v>
      </c>
      <c r="N401" s="415"/>
      <c r="O401" s="405">
        <v>4.0258620689655196</v>
      </c>
      <c r="P401" s="393">
        <f t="shared" si="105"/>
        <v>9</v>
      </c>
      <c r="Q401" s="393">
        <f t="shared" si="103"/>
        <v>1.17</v>
      </c>
      <c r="R401" s="393">
        <f t="shared" si="104"/>
        <v>14.195862068965519</v>
      </c>
      <c r="S401" s="370"/>
    </row>
    <row r="402" spans="1:19" ht="21" outlineLevel="1">
      <c r="A402" s="392" t="s">
        <v>1782</v>
      </c>
      <c r="B402" s="392" t="s">
        <v>1788</v>
      </c>
      <c r="C402" s="392" t="s">
        <v>1059</v>
      </c>
      <c r="D402" s="248" t="s">
        <v>1577</v>
      </c>
      <c r="E402" s="248" t="s">
        <v>1227</v>
      </c>
      <c r="F402" s="248" t="s">
        <v>1228</v>
      </c>
      <c r="G402" s="370" t="s">
        <v>524</v>
      </c>
      <c r="H402" s="395"/>
      <c r="I402" s="395"/>
      <c r="J402" s="395">
        <f t="shared" si="99"/>
        <v>0</v>
      </c>
      <c r="K402" s="395">
        <f t="shared" si="100"/>
        <v>0</v>
      </c>
      <c r="L402" s="395">
        <f t="shared" si="101"/>
        <v>0</v>
      </c>
      <c r="M402" s="395">
        <f t="shared" si="102"/>
        <v>0</v>
      </c>
      <c r="N402" s="415"/>
      <c r="O402" s="405">
        <v>0.68965517241379304</v>
      </c>
      <c r="P402" s="393">
        <f>P84</f>
        <v>4.5</v>
      </c>
      <c r="Q402" s="393">
        <f t="shared" si="103"/>
        <v>0.47</v>
      </c>
      <c r="R402" s="393">
        <f t="shared" si="104"/>
        <v>5.6596551724137925</v>
      </c>
      <c r="S402" s="370"/>
    </row>
    <row r="403" spans="1:19" ht="42" outlineLevel="1">
      <c r="A403" s="392" t="s">
        <v>1782</v>
      </c>
      <c r="B403" s="392" t="s">
        <v>1789</v>
      </c>
      <c r="C403" s="392" t="s">
        <v>1059</v>
      </c>
      <c r="D403" s="248" t="s">
        <v>1192</v>
      </c>
      <c r="E403" s="248" t="s">
        <v>1790</v>
      </c>
      <c r="F403" s="248" t="s">
        <v>1572</v>
      </c>
      <c r="G403" s="370" t="s">
        <v>1063</v>
      </c>
      <c r="H403" s="395"/>
      <c r="I403" s="395"/>
      <c r="J403" s="395">
        <f t="shared" si="99"/>
        <v>0</v>
      </c>
      <c r="K403" s="395">
        <f t="shared" si="100"/>
        <v>0</v>
      </c>
      <c r="L403" s="395">
        <f t="shared" si="101"/>
        <v>0</v>
      </c>
      <c r="M403" s="395">
        <f t="shared" si="102"/>
        <v>0</v>
      </c>
      <c r="N403" s="415"/>
      <c r="O403" s="405">
        <v>4.1379310344827598</v>
      </c>
      <c r="P403" s="393">
        <f>P70</f>
        <v>7.5</v>
      </c>
      <c r="Q403" s="393">
        <f t="shared" si="103"/>
        <v>1.05</v>
      </c>
      <c r="R403" s="393">
        <f t="shared" si="104"/>
        <v>12.68793103448276</v>
      </c>
      <c r="S403" s="370"/>
    </row>
    <row r="404" spans="1:19" ht="42" outlineLevel="1">
      <c r="A404" s="392" t="s">
        <v>1782</v>
      </c>
      <c r="B404" s="392" t="s">
        <v>1791</v>
      </c>
      <c r="C404" s="392" t="s">
        <v>1059</v>
      </c>
      <c r="D404" s="248" t="s">
        <v>1192</v>
      </c>
      <c r="E404" s="248" t="s">
        <v>1792</v>
      </c>
      <c r="F404" s="248" t="s">
        <v>1572</v>
      </c>
      <c r="G404" s="370" t="s">
        <v>1063</v>
      </c>
      <c r="H404" s="395"/>
      <c r="I404" s="395"/>
      <c r="J404" s="395">
        <f t="shared" si="99"/>
        <v>0</v>
      </c>
      <c r="K404" s="395">
        <f t="shared" si="100"/>
        <v>0</v>
      </c>
      <c r="L404" s="395">
        <f t="shared" si="101"/>
        <v>0</v>
      </c>
      <c r="M404" s="395">
        <f t="shared" si="102"/>
        <v>0</v>
      </c>
      <c r="N404" s="415"/>
      <c r="O404" s="405">
        <v>5.8620689655172402</v>
      </c>
      <c r="P404" s="393">
        <f>P71</f>
        <v>8</v>
      </c>
      <c r="Q404" s="393">
        <f t="shared" si="103"/>
        <v>1.25</v>
      </c>
      <c r="R404" s="393">
        <f t="shared" si="104"/>
        <v>15.11206896551724</v>
      </c>
      <c r="S404" s="370"/>
    </row>
    <row r="405" spans="1:19" ht="42" outlineLevel="1">
      <c r="A405" s="392" t="s">
        <v>1782</v>
      </c>
      <c r="B405" s="392" t="s">
        <v>1793</v>
      </c>
      <c r="C405" s="392" t="s">
        <v>1059</v>
      </c>
      <c r="D405" s="248" t="s">
        <v>1192</v>
      </c>
      <c r="E405" s="248" t="s">
        <v>1794</v>
      </c>
      <c r="F405" s="248" t="s">
        <v>1572</v>
      </c>
      <c r="G405" s="370" t="s">
        <v>1063</v>
      </c>
      <c r="H405" s="395"/>
      <c r="I405" s="395"/>
      <c r="J405" s="395">
        <f t="shared" si="99"/>
        <v>0</v>
      </c>
      <c r="K405" s="395">
        <f t="shared" si="100"/>
        <v>0</v>
      </c>
      <c r="L405" s="395">
        <f t="shared" si="101"/>
        <v>0</v>
      </c>
      <c r="M405" s="395">
        <f t="shared" si="102"/>
        <v>0</v>
      </c>
      <c r="N405" s="415"/>
      <c r="O405" s="405">
        <v>8.2758620689655196</v>
      </c>
      <c r="P405" s="393">
        <v>9</v>
      </c>
      <c r="Q405" s="393">
        <f t="shared" si="103"/>
        <v>1.55</v>
      </c>
      <c r="R405" s="393">
        <f t="shared" si="104"/>
        <v>18.82586206896552</v>
      </c>
      <c r="S405" s="370"/>
    </row>
    <row r="406" spans="1:19" ht="31.5" outlineLevel="1">
      <c r="A406" s="407" t="s">
        <v>1782</v>
      </c>
      <c r="B406" s="407" t="s">
        <v>1795</v>
      </c>
      <c r="C406" s="407" t="s">
        <v>1059</v>
      </c>
      <c r="D406" s="408" t="s">
        <v>1796</v>
      </c>
      <c r="E406" s="408"/>
      <c r="F406" s="408" t="s">
        <v>1797</v>
      </c>
      <c r="G406" s="409" t="s">
        <v>524</v>
      </c>
      <c r="H406" s="410"/>
      <c r="I406" s="410"/>
      <c r="J406" s="395">
        <f t="shared" si="99"/>
        <v>0</v>
      </c>
      <c r="K406" s="395">
        <f t="shared" si="100"/>
        <v>0</v>
      </c>
      <c r="L406" s="395">
        <f t="shared" si="101"/>
        <v>0</v>
      </c>
      <c r="M406" s="395">
        <f t="shared" si="102"/>
        <v>0</v>
      </c>
      <c r="N406" s="415"/>
      <c r="O406" s="405">
        <v>90.517241379310306</v>
      </c>
      <c r="P406" s="393">
        <v>45</v>
      </c>
      <c r="Q406" s="393">
        <f t="shared" si="103"/>
        <v>12.2</v>
      </c>
      <c r="R406" s="393">
        <f t="shared" si="104"/>
        <v>147.71724137931028</v>
      </c>
      <c r="S406" s="370"/>
    </row>
    <row r="407" spans="1:19" ht="29.45" customHeight="1">
      <c r="A407" s="411"/>
      <c r="B407" s="412"/>
      <c r="C407" s="412"/>
      <c r="D407" s="403" t="s">
        <v>35</v>
      </c>
      <c r="E407" s="413"/>
      <c r="F407" s="413"/>
      <c r="G407" s="412"/>
      <c r="H407" s="412"/>
      <c r="I407" s="414"/>
      <c r="J407" s="385">
        <f t="shared" ref="J407:M407" si="106">SUM(J6:J406)</f>
        <v>6945551.3018460143</v>
      </c>
      <c r="K407" s="385">
        <f t="shared" si="106"/>
        <v>6945551.3018460143</v>
      </c>
      <c r="L407" s="385">
        <f t="shared" si="106"/>
        <v>698314.54676226957</v>
      </c>
      <c r="M407" s="385">
        <f t="shared" si="106"/>
        <v>698314.54676226957</v>
      </c>
      <c r="N407" s="370"/>
      <c r="O407" s="312"/>
      <c r="P407" s="312"/>
      <c r="Q407" s="312"/>
      <c r="R407" s="312"/>
      <c r="S407" s="312"/>
    </row>
    <row r="408" spans="1:19">
      <c r="A408" s="42"/>
      <c r="B408" s="42"/>
      <c r="C408" s="42"/>
      <c r="E408" s="37"/>
      <c r="F408" s="37"/>
      <c r="G408" s="41"/>
      <c r="H408" s="41"/>
      <c r="I408" s="41"/>
      <c r="J408" s="41"/>
      <c r="K408" s="41"/>
      <c r="L408" s="41"/>
      <c r="M408" s="41"/>
      <c r="N408" s="41"/>
      <c r="O408" s="43"/>
      <c r="P408" s="43"/>
      <c r="Q408" s="43"/>
      <c r="R408" s="43"/>
      <c r="S408" s="43"/>
    </row>
    <row r="409" spans="1:19">
      <c r="A409" s="42"/>
      <c r="B409" s="42"/>
      <c r="C409" s="42"/>
    </row>
    <row r="410" spans="1:19">
      <c r="A410" s="42"/>
      <c r="B410" s="42"/>
      <c r="C410" s="42"/>
    </row>
    <row r="411" spans="1:19">
      <c r="A411" s="42"/>
      <c r="B411" s="42"/>
      <c r="C411" s="42"/>
    </row>
    <row r="412" spans="1:19">
      <c r="A412" s="42"/>
      <c r="B412" s="42"/>
      <c r="C412" s="42"/>
    </row>
    <row r="413" spans="1:19">
      <c r="A413" s="42"/>
      <c r="B413" s="42"/>
      <c r="C413" s="42"/>
    </row>
    <row r="414" spans="1:19">
      <c r="A414" s="42"/>
      <c r="B414" s="42"/>
      <c r="C414" s="42"/>
    </row>
  </sheetData>
  <sheetProtection password="C743" sheet="1" objects="1" scenarios="1"/>
  <mergeCells count="18">
    <mergeCell ref="L2:L3"/>
    <mergeCell ref="M2:M3"/>
    <mergeCell ref="N2:N3"/>
    <mergeCell ref="S2:S3"/>
    <mergeCell ref="A1:S1"/>
    <mergeCell ref="O2:R2"/>
    <mergeCell ref="G2:G3"/>
    <mergeCell ref="H2:H3"/>
    <mergeCell ref="I2:I3"/>
    <mergeCell ref="J2:J3"/>
    <mergeCell ref="K2:K3"/>
    <mergeCell ref="D4:F4"/>
    <mergeCell ref="A2:A3"/>
    <mergeCell ref="B2:B3"/>
    <mergeCell ref="C2:C3"/>
    <mergeCell ref="D2:D3"/>
    <mergeCell ref="E2:E3"/>
    <mergeCell ref="F2:F3"/>
  </mergeCells>
  <phoneticPr fontId="112" type="noConversion"/>
  <printOptions horizontalCentered="1"/>
  <pageMargins left="0.19685039370078741" right="0.19685039370078741" top="0.98425196850393704" bottom="0.39370078740157483" header="0" footer="0.31496062992125984"/>
  <pageSetup paperSize="9" scale="90" orientation="landscape" r:id="rId1"/>
  <headerFooter>
    <oddFooter>&amp;C第 &amp;P 页，共 &amp;N 页</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4"/>
  <sheetViews>
    <sheetView view="pageBreakPreview" zoomScaleNormal="100" zoomScaleSheetLayoutView="100" workbookViewId="0">
      <pane xSplit="5" ySplit="6" topLeftCell="F7" activePane="bottomRight" state="frozen"/>
      <selection pane="topRight"/>
      <selection pane="bottomLeft"/>
      <selection pane="bottomRight" activeCell="K9" sqref="K9"/>
    </sheetView>
  </sheetViews>
  <sheetFormatPr defaultColWidth="9" defaultRowHeight="13.5"/>
  <cols>
    <col min="1" max="1" width="2.875" customWidth="1"/>
    <col min="2" max="2" width="3.375" customWidth="1"/>
    <col min="3" max="3" width="8.5" customWidth="1"/>
    <col min="4" max="4" width="29.5" customWidth="1"/>
    <col min="5" max="5" width="7.5" customWidth="1"/>
    <col min="6" max="6" width="8.875" customWidth="1"/>
    <col min="8" max="8" width="8.625" customWidth="1"/>
    <col min="9" max="9" width="7.5" customWidth="1"/>
    <col min="10" max="10" width="7.875" customWidth="1"/>
    <col min="11" max="11" width="9.125" bestFit="1" customWidth="1"/>
    <col min="12" max="12" width="9.5" customWidth="1"/>
    <col min="14" max="14" width="8.5" customWidth="1"/>
    <col min="15" max="15" width="8.125" customWidth="1"/>
    <col min="16" max="17" width="7.5" customWidth="1"/>
    <col min="18" max="18" width="8.875" customWidth="1"/>
  </cols>
  <sheetData>
    <row r="1" spans="1:18" ht="36" customHeight="1">
      <c r="A1" s="668" t="s">
        <v>29</v>
      </c>
      <c r="B1" s="668"/>
      <c r="C1" s="668"/>
      <c r="D1" s="668"/>
      <c r="E1" s="668"/>
      <c r="F1" s="668"/>
      <c r="G1" s="669"/>
      <c r="H1" s="669"/>
      <c r="I1" s="669"/>
      <c r="J1" s="669"/>
      <c r="K1" s="669"/>
      <c r="L1" s="669"/>
      <c r="M1" s="669"/>
      <c r="N1" s="669"/>
      <c r="O1" s="669"/>
      <c r="P1" s="669"/>
      <c r="Q1" s="670"/>
      <c r="R1" s="670"/>
    </row>
    <row r="2" spans="1:18" ht="48.75" customHeight="1">
      <c r="A2" s="671" t="s">
        <v>1964</v>
      </c>
      <c r="B2" s="672"/>
      <c r="C2" s="672"/>
      <c r="D2" s="672"/>
      <c r="E2" s="672"/>
      <c r="F2" s="672"/>
      <c r="G2" s="672"/>
      <c r="H2" s="672"/>
      <c r="I2" s="672"/>
      <c r="J2" s="672"/>
      <c r="K2" s="672"/>
      <c r="L2" s="672"/>
      <c r="M2" s="672"/>
      <c r="N2" s="672"/>
      <c r="O2" s="672"/>
      <c r="P2" s="672"/>
      <c r="Q2" s="672"/>
      <c r="R2" s="673"/>
    </row>
    <row r="3" spans="1:18">
      <c r="A3" s="477"/>
      <c r="B3" s="682" t="s">
        <v>131</v>
      </c>
      <c r="C3" s="682" t="s">
        <v>132</v>
      </c>
      <c r="D3" s="682" t="s">
        <v>184</v>
      </c>
      <c r="E3" s="674" t="s">
        <v>1965</v>
      </c>
      <c r="F3" s="675"/>
      <c r="G3" s="675"/>
      <c r="H3" s="675"/>
      <c r="I3" s="675"/>
      <c r="J3" s="675"/>
      <c r="K3" s="675"/>
      <c r="L3" s="675"/>
      <c r="M3" s="675"/>
      <c r="N3" s="675"/>
      <c r="O3" s="675"/>
      <c r="P3" s="676"/>
      <c r="Q3" s="684" t="s">
        <v>1966</v>
      </c>
      <c r="R3" s="685"/>
    </row>
    <row r="4" spans="1:18" ht="21" customHeight="1">
      <c r="A4" s="680" t="s">
        <v>9</v>
      </c>
      <c r="B4" s="683"/>
      <c r="C4" s="683"/>
      <c r="D4" s="682"/>
      <c r="E4" s="677" t="s">
        <v>27</v>
      </c>
      <c r="F4" s="678"/>
      <c r="G4" s="678"/>
      <c r="H4" s="678"/>
      <c r="I4" s="678"/>
      <c r="J4" s="679"/>
      <c r="K4" s="677" t="s">
        <v>1967</v>
      </c>
      <c r="L4" s="678"/>
      <c r="M4" s="678"/>
      <c r="N4" s="678"/>
      <c r="O4" s="678"/>
      <c r="P4" s="679"/>
      <c r="Q4" s="686"/>
      <c r="R4" s="687"/>
    </row>
    <row r="5" spans="1:18" ht="77.45" customHeight="1">
      <c r="A5" s="681"/>
      <c r="B5" s="683"/>
      <c r="C5" s="683"/>
      <c r="D5" s="683"/>
      <c r="E5" s="478" t="s">
        <v>1968</v>
      </c>
      <c r="F5" s="478" t="s">
        <v>1969</v>
      </c>
      <c r="G5" s="479" t="s">
        <v>1970</v>
      </c>
      <c r="H5" s="480" t="s">
        <v>1971</v>
      </c>
      <c r="I5" s="480" t="s">
        <v>1972</v>
      </c>
      <c r="J5" s="480" t="s">
        <v>1973</v>
      </c>
      <c r="K5" s="480" t="s">
        <v>1974</v>
      </c>
      <c r="L5" s="480" t="s">
        <v>1975</v>
      </c>
      <c r="M5" s="479" t="s">
        <v>1970</v>
      </c>
      <c r="N5" s="480" t="s">
        <v>1971</v>
      </c>
      <c r="O5" s="480" t="s">
        <v>1972</v>
      </c>
      <c r="P5" s="480" t="s">
        <v>1973</v>
      </c>
      <c r="Q5" s="480" t="s">
        <v>44</v>
      </c>
      <c r="R5" s="480" t="s">
        <v>1976</v>
      </c>
    </row>
    <row r="6" spans="1:18" hidden="1">
      <c r="A6" s="488" t="s">
        <v>45</v>
      </c>
      <c r="B6" s="489">
        <v>1</v>
      </c>
      <c r="C6" s="481" t="s">
        <v>1977</v>
      </c>
      <c r="D6" s="483"/>
      <c r="E6" s="483"/>
      <c r="F6" s="483"/>
      <c r="G6" s="482"/>
      <c r="H6" s="482"/>
      <c r="I6" s="490"/>
      <c r="J6" s="491"/>
      <c r="K6" s="491"/>
      <c r="L6" s="491"/>
      <c r="M6" s="490"/>
      <c r="N6" s="490"/>
      <c r="O6" s="490"/>
      <c r="P6" s="491"/>
      <c r="Q6" s="492"/>
      <c r="R6" s="493"/>
    </row>
    <row r="7" spans="1:18" ht="90.6" customHeight="1">
      <c r="A7" s="494">
        <v>1</v>
      </c>
      <c r="B7" s="484">
        <v>2</v>
      </c>
      <c r="C7" s="483" t="s">
        <v>1978</v>
      </c>
      <c r="D7" s="483" t="s">
        <v>1979</v>
      </c>
      <c r="E7" s="484">
        <v>13571.94</v>
      </c>
      <c r="F7" s="484">
        <f>E7*J7</f>
        <v>0</v>
      </c>
      <c r="G7" s="499"/>
      <c r="H7" s="495">
        <f>G7*0.1</f>
        <v>0</v>
      </c>
      <c r="I7" s="496">
        <f>(H7+G7)*9%</f>
        <v>0</v>
      </c>
      <c r="J7" s="485">
        <f>G7+H7+I7</f>
        <v>0</v>
      </c>
      <c r="K7" s="485">
        <v>101610.82</v>
      </c>
      <c r="L7" s="485">
        <f>K7*P7</f>
        <v>0</v>
      </c>
      <c r="M7" s="500"/>
      <c r="N7" s="495">
        <f>M7*0.1</f>
        <v>0</v>
      </c>
      <c r="O7" s="496">
        <f>(N7+M7)*9%</f>
        <v>0</v>
      </c>
      <c r="P7" s="485">
        <f>M7+N7+O7</f>
        <v>0</v>
      </c>
      <c r="Q7" s="496">
        <f>F7+L7</f>
        <v>0</v>
      </c>
      <c r="R7" s="485">
        <f>Q7/(E7+K7)</f>
        <v>0</v>
      </c>
    </row>
    <row r="8" spans="1:18" ht="100.9" customHeight="1">
      <c r="A8" s="482">
        <v>2</v>
      </c>
      <c r="B8" s="484">
        <v>2</v>
      </c>
      <c r="C8" s="483" t="s">
        <v>1980</v>
      </c>
      <c r="D8" s="486" t="s">
        <v>1981</v>
      </c>
      <c r="E8" s="484">
        <v>13572.94</v>
      </c>
      <c r="F8" s="484">
        <f>E8*J8</f>
        <v>0</v>
      </c>
      <c r="G8" s="499"/>
      <c r="H8" s="495">
        <f t="shared" ref="H8:H23" si="0">G8*0.1</f>
        <v>0</v>
      </c>
      <c r="I8" s="496">
        <f t="shared" ref="I8:I23" si="1">(H8+G8)*9%</f>
        <v>0</v>
      </c>
      <c r="J8" s="485">
        <f>G8+H8+I8</f>
        <v>0</v>
      </c>
      <c r="K8" s="485">
        <v>101611.82</v>
      </c>
      <c r="L8" s="485">
        <f t="shared" ref="L8:L22" si="2">K8*P8</f>
        <v>0</v>
      </c>
      <c r="M8" s="500"/>
      <c r="N8" s="495">
        <f t="shared" ref="N8:N23" si="3">M8*0.1</f>
        <v>0</v>
      </c>
      <c r="O8" s="496">
        <f t="shared" ref="O8:O23" si="4">(N8+M8)*9%</f>
        <v>0</v>
      </c>
      <c r="P8" s="485">
        <f t="shared" ref="P8:P22" si="5">M8+N8+O8</f>
        <v>0</v>
      </c>
      <c r="Q8" s="496">
        <f t="shared" ref="Q8:Q22" si="6">F8+L8</f>
        <v>0</v>
      </c>
      <c r="R8" s="485">
        <f t="shared" ref="R8:R22" si="7">Q8/(E8+K8)</f>
        <v>0</v>
      </c>
    </row>
    <row r="9" spans="1:18" ht="171.6" customHeight="1">
      <c r="A9" s="494">
        <v>3</v>
      </c>
      <c r="B9" s="484">
        <v>2</v>
      </c>
      <c r="C9" s="483" t="s">
        <v>1982</v>
      </c>
      <c r="D9" s="486" t="s">
        <v>1983</v>
      </c>
      <c r="E9" s="484">
        <v>13573.94</v>
      </c>
      <c r="F9" s="484">
        <f t="shared" ref="F9:F23" si="8">E9*J9</f>
        <v>0</v>
      </c>
      <c r="G9" s="499"/>
      <c r="H9" s="495">
        <f t="shared" si="0"/>
        <v>0</v>
      </c>
      <c r="I9" s="496">
        <f t="shared" si="1"/>
        <v>0</v>
      </c>
      <c r="J9" s="485">
        <f t="shared" ref="J9:J23" si="9">G9+H9+I9</f>
        <v>0</v>
      </c>
      <c r="K9" s="485">
        <v>101612.82</v>
      </c>
      <c r="L9" s="485">
        <f t="shared" si="2"/>
        <v>0</v>
      </c>
      <c r="M9" s="500"/>
      <c r="N9" s="495">
        <f t="shared" si="3"/>
        <v>0</v>
      </c>
      <c r="O9" s="496">
        <f t="shared" si="4"/>
        <v>0</v>
      </c>
      <c r="P9" s="485">
        <f t="shared" si="5"/>
        <v>0</v>
      </c>
      <c r="Q9" s="496">
        <f t="shared" si="6"/>
        <v>0</v>
      </c>
      <c r="R9" s="485">
        <f t="shared" si="7"/>
        <v>0</v>
      </c>
    </row>
    <row r="10" spans="1:18" ht="259.89999999999998" customHeight="1">
      <c r="A10" s="494">
        <v>4</v>
      </c>
      <c r="B10" s="484">
        <v>2</v>
      </c>
      <c r="C10" s="483" t="s">
        <v>1984</v>
      </c>
      <c r="D10" s="486" t="s">
        <v>1985</v>
      </c>
      <c r="E10" s="484">
        <v>13574.94</v>
      </c>
      <c r="F10" s="484">
        <f t="shared" si="8"/>
        <v>0</v>
      </c>
      <c r="G10" s="499"/>
      <c r="H10" s="495">
        <f t="shared" si="0"/>
        <v>0</v>
      </c>
      <c r="I10" s="496">
        <f t="shared" si="1"/>
        <v>0</v>
      </c>
      <c r="J10" s="485">
        <f t="shared" si="9"/>
        <v>0</v>
      </c>
      <c r="K10" s="485">
        <v>101613.82</v>
      </c>
      <c r="L10" s="485">
        <f t="shared" si="2"/>
        <v>0</v>
      </c>
      <c r="M10" s="500"/>
      <c r="N10" s="495">
        <f t="shared" si="3"/>
        <v>0</v>
      </c>
      <c r="O10" s="496">
        <f t="shared" si="4"/>
        <v>0</v>
      </c>
      <c r="P10" s="485">
        <f t="shared" si="5"/>
        <v>0</v>
      </c>
      <c r="Q10" s="496">
        <f t="shared" si="6"/>
        <v>0</v>
      </c>
      <c r="R10" s="485">
        <f t="shared" si="7"/>
        <v>0</v>
      </c>
    </row>
    <row r="11" spans="1:18" ht="46.15" customHeight="1">
      <c r="A11" s="494">
        <v>5</v>
      </c>
      <c r="B11" s="489">
        <v>2</v>
      </c>
      <c r="C11" s="483" t="s">
        <v>1986</v>
      </c>
      <c r="D11" s="486" t="s">
        <v>2120</v>
      </c>
      <c r="E11" s="484">
        <v>13575.94</v>
      </c>
      <c r="F11" s="484">
        <f t="shared" si="8"/>
        <v>0</v>
      </c>
      <c r="G11" s="499"/>
      <c r="H11" s="495">
        <f t="shared" si="0"/>
        <v>0</v>
      </c>
      <c r="I11" s="496">
        <f t="shared" si="1"/>
        <v>0</v>
      </c>
      <c r="J11" s="485">
        <f t="shared" si="9"/>
        <v>0</v>
      </c>
      <c r="K11" s="485">
        <v>101614.82</v>
      </c>
      <c r="L11" s="485">
        <f t="shared" si="2"/>
        <v>0</v>
      </c>
      <c r="M11" s="500"/>
      <c r="N11" s="495">
        <f t="shared" si="3"/>
        <v>0</v>
      </c>
      <c r="O11" s="496">
        <f t="shared" si="4"/>
        <v>0</v>
      </c>
      <c r="P11" s="485">
        <f t="shared" si="5"/>
        <v>0</v>
      </c>
      <c r="Q11" s="496">
        <f t="shared" si="6"/>
        <v>0</v>
      </c>
      <c r="R11" s="485">
        <f t="shared" si="7"/>
        <v>0</v>
      </c>
    </row>
    <row r="12" spans="1:18" ht="54" customHeight="1">
      <c r="A12" s="494">
        <v>6</v>
      </c>
      <c r="B12" s="484">
        <v>2</v>
      </c>
      <c r="C12" s="483" t="s">
        <v>1987</v>
      </c>
      <c r="D12" s="486" t="s">
        <v>1988</v>
      </c>
      <c r="E12" s="484">
        <v>13576.94</v>
      </c>
      <c r="F12" s="484">
        <f t="shared" si="8"/>
        <v>0</v>
      </c>
      <c r="G12" s="499"/>
      <c r="H12" s="495">
        <f t="shared" si="0"/>
        <v>0</v>
      </c>
      <c r="I12" s="496">
        <f t="shared" si="1"/>
        <v>0</v>
      </c>
      <c r="J12" s="485">
        <f t="shared" si="9"/>
        <v>0</v>
      </c>
      <c r="K12" s="485">
        <v>101615.82</v>
      </c>
      <c r="L12" s="485">
        <f t="shared" si="2"/>
        <v>0</v>
      </c>
      <c r="M12" s="500"/>
      <c r="N12" s="495">
        <f t="shared" si="3"/>
        <v>0</v>
      </c>
      <c r="O12" s="496">
        <f t="shared" si="4"/>
        <v>0</v>
      </c>
      <c r="P12" s="485">
        <f t="shared" si="5"/>
        <v>0</v>
      </c>
      <c r="Q12" s="496">
        <f t="shared" si="6"/>
        <v>0</v>
      </c>
      <c r="R12" s="485">
        <f t="shared" si="7"/>
        <v>0</v>
      </c>
    </row>
    <row r="13" spans="1:18" ht="69" customHeight="1">
      <c r="A13" s="494">
        <v>7</v>
      </c>
      <c r="B13" s="484">
        <v>2</v>
      </c>
      <c r="C13" s="483" t="s">
        <v>1989</v>
      </c>
      <c r="D13" s="486" t="s">
        <v>1990</v>
      </c>
      <c r="E13" s="484">
        <v>13577.94</v>
      </c>
      <c r="F13" s="484">
        <f t="shared" si="8"/>
        <v>0</v>
      </c>
      <c r="G13" s="499"/>
      <c r="H13" s="495">
        <f t="shared" si="0"/>
        <v>0</v>
      </c>
      <c r="I13" s="496">
        <f t="shared" si="1"/>
        <v>0</v>
      </c>
      <c r="J13" s="485">
        <f t="shared" si="9"/>
        <v>0</v>
      </c>
      <c r="K13" s="485">
        <v>101616.82</v>
      </c>
      <c r="L13" s="485">
        <f t="shared" si="2"/>
        <v>0</v>
      </c>
      <c r="M13" s="500"/>
      <c r="N13" s="495">
        <f t="shared" si="3"/>
        <v>0</v>
      </c>
      <c r="O13" s="496">
        <f t="shared" si="4"/>
        <v>0</v>
      </c>
      <c r="P13" s="485">
        <f t="shared" si="5"/>
        <v>0</v>
      </c>
      <c r="Q13" s="496">
        <f t="shared" si="6"/>
        <v>0</v>
      </c>
      <c r="R13" s="485">
        <f t="shared" si="7"/>
        <v>0</v>
      </c>
    </row>
    <row r="14" spans="1:18" ht="51" customHeight="1">
      <c r="A14" s="494">
        <v>8</v>
      </c>
      <c r="B14" s="484">
        <v>2</v>
      </c>
      <c r="C14" s="483" t="s">
        <v>1991</v>
      </c>
      <c r="D14" s="486" t="s">
        <v>1992</v>
      </c>
      <c r="E14" s="484">
        <v>13578.94</v>
      </c>
      <c r="F14" s="484">
        <f t="shared" si="8"/>
        <v>0</v>
      </c>
      <c r="G14" s="499"/>
      <c r="H14" s="495">
        <f t="shared" si="0"/>
        <v>0</v>
      </c>
      <c r="I14" s="496">
        <f t="shared" si="1"/>
        <v>0</v>
      </c>
      <c r="J14" s="485">
        <f t="shared" si="9"/>
        <v>0</v>
      </c>
      <c r="K14" s="485">
        <v>101617.82</v>
      </c>
      <c r="L14" s="485">
        <f t="shared" si="2"/>
        <v>0</v>
      </c>
      <c r="M14" s="500"/>
      <c r="N14" s="495">
        <f t="shared" si="3"/>
        <v>0</v>
      </c>
      <c r="O14" s="496">
        <f t="shared" si="4"/>
        <v>0</v>
      </c>
      <c r="P14" s="485">
        <f t="shared" si="5"/>
        <v>0</v>
      </c>
      <c r="Q14" s="496">
        <f t="shared" si="6"/>
        <v>0</v>
      </c>
      <c r="R14" s="485">
        <f t="shared" si="7"/>
        <v>0</v>
      </c>
    </row>
    <row r="15" spans="1:18" ht="51" customHeight="1">
      <c r="A15" s="482">
        <v>9</v>
      </c>
      <c r="B15" s="484">
        <v>2</v>
      </c>
      <c r="C15" s="483" t="s">
        <v>1993</v>
      </c>
      <c r="D15" s="486" t="s">
        <v>1994</v>
      </c>
      <c r="E15" s="484">
        <v>13579.94</v>
      </c>
      <c r="F15" s="484">
        <f t="shared" si="8"/>
        <v>0</v>
      </c>
      <c r="G15" s="499"/>
      <c r="H15" s="495">
        <f t="shared" si="0"/>
        <v>0</v>
      </c>
      <c r="I15" s="496">
        <f t="shared" si="1"/>
        <v>0</v>
      </c>
      <c r="J15" s="485">
        <f t="shared" si="9"/>
        <v>0</v>
      </c>
      <c r="K15" s="485">
        <v>101618.82</v>
      </c>
      <c r="L15" s="485">
        <f t="shared" si="2"/>
        <v>0</v>
      </c>
      <c r="M15" s="500"/>
      <c r="N15" s="495">
        <f t="shared" si="3"/>
        <v>0</v>
      </c>
      <c r="O15" s="496">
        <f t="shared" si="4"/>
        <v>0</v>
      </c>
      <c r="P15" s="485">
        <f t="shared" si="5"/>
        <v>0</v>
      </c>
      <c r="Q15" s="496">
        <f t="shared" si="6"/>
        <v>0</v>
      </c>
      <c r="R15" s="485">
        <f t="shared" si="7"/>
        <v>0</v>
      </c>
    </row>
    <row r="16" spans="1:18" ht="136.15" customHeight="1">
      <c r="A16" s="482">
        <v>10</v>
      </c>
      <c r="B16" s="484">
        <v>2</v>
      </c>
      <c r="C16" s="483" t="s">
        <v>1995</v>
      </c>
      <c r="D16" s="486" t="s">
        <v>1996</v>
      </c>
      <c r="E16" s="484">
        <v>13580.94</v>
      </c>
      <c r="F16" s="484">
        <f t="shared" si="8"/>
        <v>0</v>
      </c>
      <c r="G16" s="499"/>
      <c r="H16" s="495">
        <f t="shared" si="0"/>
        <v>0</v>
      </c>
      <c r="I16" s="496">
        <f t="shared" si="1"/>
        <v>0</v>
      </c>
      <c r="J16" s="485">
        <f t="shared" si="9"/>
        <v>0</v>
      </c>
      <c r="K16" s="485">
        <v>101619.82</v>
      </c>
      <c r="L16" s="485">
        <f t="shared" si="2"/>
        <v>0</v>
      </c>
      <c r="M16" s="500"/>
      <c r="N16" s="495">
        <f t="shared" si="3"/>
        <v>0</v>
      </c>
      <c r="O16" s="496">
        <f t="shared" si="4"/>
        <v>0</v>
      </c>
      <c r="P16" s="485">
        <f t="shared" si="5"/>
        <v>0</v>
      </c>
      <c r="Q16" s="496">
        <f t="shared" si="6"/>
        <v>0</v>
      </c>
      <c r="R16" s="485">
        <f t="shared" si="7"/>
        <v>0</v>
      </c>
    </row>
    <row r="17" spans="1:18" ht="34.9" customHeight="1">
      <c r="A17" s="494">
        <v>11</v>
      </c>
      <c r="B17" s="484">
        <v>2</v>
      </c>
      <c r="C17" s="483" t="s">
        <v>1997</v>
      </c>
      <c r="D17" s="486" t="s">
        <v>1998</v>
      </c>
      <c r="E17" s="484">
        <v>13581.94</v>
      </c>
      <c r="F17" s="484">
        <f t="shared" si="8"/>
        <v>0</v>
      </c>
      <c r="G17" s="499"/>
      <c r="H17" s="495">
        <f t="shared" si="0"/>
        <v>0</v>
      </c>
      <c r="I17" s="496">
        <f t="shared" si="1"/>
        <v>0</v>
      </c>
      <c r="J17" s="485">
        <f t="shared" si="9"/>
        <v>0</v>
      </c>
      <c r="K17" s="485">
        <v>101620.82</v>
      </c>
      <c r="L17" s="485">
        <f t="shared" si="2"/>
        <v>0</v>
      </c>
      <c r="M17" s="500"/>
      <c r="N17" s="495">
        <f t="shared" si="3"/>
        <v>0</v>
      </c>
      <c r="O17" s="496">
        <f t="shared" si="4"/>
        <v>0</v>
      </c>
      <c r="P17" s="485">
        <f t="shared" si="5"/>
        <v>0</v>
      </c>
      <c r="Q17" s="496">
        <f t="shared" si="6"/>
        <v>0</v>
      </c>
      <c r="R17" s="485">
        <f t="shared" si="7"/>
        <v>0</v>
      </c>
    </row>
    <row r="18" spans="1:18" ht="76.900000000000006" customHeight="1">
      <c r="A18" s="494">
        <v>12</v>
      </c>
      <c r="B18" s="484">
        <v>2</v>
      </c>
      <c r="C18" s="483" t="s">
        <v>1999</v>
      </c>
      <c r="D18" s="486" t="s">
        <v>2000</v>
      </c>
      <c r="E18" s="484">
        <v>13582.94</v>
      </c>
      <c r="F18" s="484">
        <f t="shared" si="8"/>
        <v>0</v>
      </c>
      <c r="G18" s="499"/>
      <c r="H18" s="495">
        <f t="shared" si="0"/>
        <v>0</v>
      </c>
      <c r="I18" s="496">
        <f t="shared" si="1"/>
        <v>0</v>
      </c>
      <c r="J18" s="485">
        <f t="shared" si="9"/>
        <v>0</v>
      </c>
      <c r="K18" s="485">
        <v>101621.82</v>
      </c>
      <c r="L18" s="485">
        <f t="shared" si="2"/>
        <v>0</v>
      </c>
      <c r="M18" s="500"/>
      <c r="N18" s="495">
        <f t="shared" si="3"/>
        <v>0</v>
      </c>
      <c r="O18" s="496">
        <f t="shared" si="4"/>
        <v>0</v>
      </c>
      <c r="P18" s="485">
        <f t="shared" si="5"/>
        <v>0</v>
      </c>
      <c r="Q18" s="496">
        <f t="shared" si="6"/>
        <v>0</v>
      </c>
      <c r="R18" s="485">
        <f t="shared" si="7"/>
        <v>0</v>
      </c>
    </row>
    <row r="19" spans="1:18" ht="80.45" customHeight="1">
      <c r="A19" s="494">
        <v>13</v>
      </c>
      <c r="B19" s="484">
        <v>2</v>
      </c>
      <c r="C19" s="483" t="s">
        <v>2001</v>
      </c>
      <c r="D19" s="486" t="s">
        <v>2002</v>
      </c>
      <c r="E19" s="484">
        <v>13583.94</v>
      </c>
      <c r="F19" s="484">
        <f t="shared" si="8"/>
        <v>0</v>
      </c>
      <c r="G19" s="499"/>
      <c r="H19" s="495">
        <f t="shared" si="0"/>
        <v>0</v>
      </c>
      <c r="I19" s="496">
        <f t="shared" si="1"/>
        <v>0</v>
      </c>
      <c r="J19" s="485">
        <f t="shared" si="9"/>
        <v>0</v>
      </c>
      <c r="K19" s="485">
        <v>101622.82</v>
      </c>
      <c r="L19" s="485">
        <f t="shared" si="2"/>
        <v>0</v>
      </c>
      <c r="M19" s="500"/>
      <c r="N19" s="495">
        <f t="shared" si="3"/>
        <v>0</v>
      </c>
      <c r="O19" s="496">
        <f t="shared" si="4"/>
        <v>0</v>
      </c>
      <c r="P19" s="485">
        <f t="shared" si="5"/>
        <v>0</v>
      </c>
      <c r="Q19" s="496">
        <f t="shared" si="6"/>
        <v>0</v>
      </c>
      <c r="R19" s="485">
        <f t="shared" si="7"/>
        <v>0</v>
      </c>
    </row>
    <row r="20" spans="1:18" ht="169.15" customHeight="1">
      <c r="A20" s="494">
        <v>14</v>
      </c>
      <c r="B20" s="484">
        <v>2</v>
      </c>
      <c r="C20" s="483" t="s">
        <v>2003</v>
      </c>
      <c r="D20" s="487" t="s">
        <v>2004</v>
      </c>
      <c r="E20" s="484">
        <v>13584.94</v>
      </c>
      <c r="F20" s="484">
        <f t="shared" si="8"/>
        <v>0</v>
      </c>
      <c r="G20" s="499"/>
      <c r="H20" s="495">
        <f t="shared" si="0"/>
        <v>0</v>
      </c>
      <c r="I20" s="496">
        <f t="shared" si="1"/>
        <v>0</v>
      </c>
      <c r="J20" s="485">
        <f t="shared" si="9"/>
        <v>0</v>
      </c>
      <c r="K20" s="485">
        <v>101623.82</v>
      </c>
      <c r="L20" s="485">
        <f t="shared" si="2"/>
        <v>0</v>
      </c>
      <c r="M20" s="500"/>
      <c r="N20" s="495">
        <f t="shared" si="3"/>
        <v>0</v>
      </c>
      <c r="O20" s="496">
        <f t="shared" si="4"/>
        <v>0</v>
      </c>
      <c r="P20" s="485">
        <f t="shared" si="5"/>
        <v>0</v>
      </c>
      <c r="Q20" s="496">
        <f t="shared" si="6"/>
        <v>0</v>
      </c>
      <c r="R20" s="485">
        <f t="shared" si="7"/>
        <v>0</v>
      </c>
    </row>
    <row r="21" spans="1:18" ht="250.15" customHeight="1">
      <c r="A21" s="494">
        <v>15</v>
      </c>
      <c r="B21" s="484">
        <v>2</v>
      </c>
      <c r="C21" s="483" t="s">
        <v>646</v>
      </c>
      <c r="D21" s="487" t="s">
        <v>2005</v>
      </c>
      <c r="E21" s="484">
        <v>13585.94</v>
      </c>
      <c r="F21" s="484">
        <f t="shared" si="8"/>
        <v>0</v>
      </c>
      <c r="G21" s="499"/>
      <c r="H21" s="495">
        <f t="shared" si="0"/>
        <v>0</v>
      </c>
      <c r="I21" s="496">
        <f t="shared" si="1"/>
        <v>0</v>
      </c>
      <c r="J21" s="485">
        <f t="shared" si="9"/>
        <v>0</v>
      </c>
      <c r="K21" s="485">
        <v>101624.82</v>
      </c>
      <c r="L21" s="485">
        <f t="shared" si="2"/>
        <v>0</v>
      </c>
      <c r="M21" s="500"/>
      <c r="N21" s="495">
        <f t="shared" si="3"/>
        <v>0</v>
      </c>
      <c r="O21" s="496">
        <f t="shared" si="4"/>
        <v>0</v>
      </c>
      <c r="P21" s="485">
        <f t="shared" si="5"/>
        <v>0</v>
      </c>
      <c r="Q21" s="496">
        <f t="shared" si="6"/>
        <v>0</v>
      </c>
      <c r="R21" s="485">
        <f t="shared" si="7"/>
        <v>0</v>
      </c>
    </row>
    <row r="22" spans="1:18" ht="400.15" customHeight="1">
      <c r="A22" s="494">
        <v>16</v>
      </c>
      <c r="B22" s="484">
        <v>2</v>
      </c>
      <c r="C22" s="483" t="s">
        <v>2006</v>
      </c>
      <c r="D22" s="486" t="s">
        <v>2007</v>
      </c>
      <c r="E22" s="484">
        <v>13586.94</v>
      </c>
      <c r="F22" s="484">
        <f t="shared" si="8"/>
        <v>0</v>
      </c>
      <c r="G22" s="499"/>
      <c r="H22" s="495">
        <f t="shared" si="0"/>
        <v>0</v>
      </c>
      <c r="I22" s="496">
        <f t="shared" si="1"/>
        <v>0</v>
      </c>
      <c r="J22" s="485">
        <f t="shared" si="9"/>
        <v>0</v>
      </c>
      <c r="K22" s="485">
        <v>101625.82</v>
      </c>
      <c r="L22" s="485">
        <f t="shared" si="2"/>
        <v>0</v>
      </c>
      <c r="M22" s="500"/>
      <c r="N22" s="495">
        <f t="shared" si="3"/>
        <v>0</v>
      </c>
      <c r="O22" s="496">
        <f t="shared" si="4"/>
        <v>0</v>
      </c>
      <c r="P22" s="485">
        <f t="shared" si="5"/>
        <v>0</v>
      </c>
      <c r="Q22" s="496">
        <f t="shared" si="6"/>
        <v>0</v>
      </c>
      <c r="R22" s="485">
        <f t="shared" si="7"/>
        <v>0</v>
      </c>
    </row>
    <row r="23" spans="1:18" ht="48.6" customHeight="1">
      <c r="A23" s="494">
        <v>17</v>
      </c>
      <c r="B23" s="484">
        <v>2</v>
      </c>
      <c r="C23" s="483" t="s">
        <v>2008</v>
      </c>
      <c r="D23" s="486" t="s">
        <v>2009</v>
      </c>
      <c r="E23" s="484">
        <v>13587.94</v>
      </c>
      <c r="F23" s="484">
        <f t="shared" si="8"/>
        <v>0</v>
      </c>
      <c r="G23" s="499"/>
      <c r="H23" s="495">
        <f t="shared" si="0"/>
        <v>0</v>
      </c>
      <c r="I23" s="496">
        <f t="shared" si="1"/>
        <v>0</v>
      </c>
      <c r="J23" s="485">
        <f t="shared" si="9"/>
        <v>0</v>
      </c>
      <c r="K23" s="485">
        <v>101626.82</v>
      </c>
      <c r="L23" s="485">
        <f>K23*P23</f>
        <v>0</v>
      </c>
      <c r="M23" s="500"/>
      <c r="N23" s="495">
        <f t="shared" si="3"/>
        <v>0</v>
      </c>
      <c r="O23" s="496">
        <f t="shared" si="4"/>
        <v>0</v>
      </c>
      <c r="P23" s="485">
        <f>M23+N23+O23</f>
        <v>0</v>
      </c>
      <c r="Q23" s="496">
        <f>F23+L23</f>
        <v>0</v>
      </c>
      <c r="R23" s="485">
        <f>Q23/(E23+K23)</f>
        <v>0</v>
      </c>
    </row>
    <row r="24" spans="1:18" ht="36.6" customHeight="1">
      <c r="A24" s="494"/>
      <c r="B24" s="484"/>
      <c r="C24" s="481" t="s">
        <v>35</v>
      </c>
      <c r="D24" s="497"/>
      <c r="E24" s="497"/>
      <c r="F24" s="498">
        <f>SUM(F7:F23)</f>
        <v>0</v>
      </c>
      <c r="G24" s="498"/>
      <c r="H24" s="498"/>
      <c r="I24" s="498"/>
      <c r="J24" s="498">
        <f t="shared" ref="J24:R24" si="10">SUM(J7:J23)</f>
        <v>0</v>
      </c>
      <c r="K24" s="498"/>
      <c r="L24" s="498">
        <f>SUM(L7:L23)</f>
        <v>0</v>
      </c>
      <c r="M24" s="498"/>
      <c r="N24" s="498"/>
      <c r="O24" s="498"/>
      <c r="P24" s="498">
        <f>SUM(P7:P23)</f>
        <v>0</v>
      </c>
      <c r="Q24" s="498">
        <f t="shared" si="10"/>
        <v>0</v>
      </c>
      <c r="R24" s="498">
        <f t="shared" si="10"/>
        <v>0</v>
      </c>
    </row>
  </sheetData>
  <sheetProtection password="C743" sheet="1" objects="1" scenarios="1"/>
  <mergeCells count="10">
    <mergeCell ref="A1:R1"/>
    <mergeCell ref="A2:R2"/>
    <mergeCell ref="E3:P3"/>
    <mergeCell ref="E4:J4"/>
    <mergeCell ref="K4:P4"/>
    <mergeCell ref="A4:A5"/>
    <mergeCell ref="B3:B5"/>
    <mergeCell ref="C3:C5"/>
    <mergeCell ref="D3:D5"/>
    <mergeCell ref="Q3:R4"/>
  </mergeCells>
  <phoneticPr fontId="112" type="noConversion"/>
  <printOptions horizontalCentered="1"/>
  <pageMargins left="0.19685039370078741" right="0.19685039370078741" top="0.98425196850393704" bottom="0.39370078740157483" header="0" footer="0.31496062992125984"/>
  <pageSetup paperSize="9" scale="90" orientation="landscape" r:id="rId1"/>
  <headerFooter>
    <oddFooter>第 &amp;P 页，共 &amp;N 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2"/>
  <sheetViews>
    <sheetView view="pageBreakPreview" zoomScaleNormal="100" zoomScaleSheetLayoutView="100" workbookViewId="0">
      <selection activeCell="I15" sqref="I15"/>
    </sheetView>
  </sheetViews>
  <sheetFormatPr defaultColWidth="9" defaultRowHeight="13.5" outlineLevelRow="1"/>
  <cols>
    <col min="1" max="1" width="4.25" customWidth="1"/>
    <col min="2" max="2" width="4.125" customWidth="1"/>
    <col min="3" max="3" width="12" customWidth="1"/>
    <col min="4" max="4" width="14.125" customWidth="1"/>
    <col min="5" max="5" width="15.625" customWidth="1"/>
    <col min="6" max="6" width="4.875" customWidth="1"/>
    <col min="7" max="7" width="8.125" customWidth="1"/>
    <col min="8" max="8" width="10.375" customWidth="1"/>
    <col min="9" max="9" width="9.5" customWidth="1"/>
    <col min="10" max="10" width="8.625" customWidth="1"/>
    <col min="11" max="11" width="8.75" customWidth="1"/>
    <col min="12" max="12" width="7.625" customWidth="1"/>
    <col min="13" max="13" width="7" customWidth="1"/>
    <col min="14" max="14" width="7.625" customWidth="1"/>
    <col min="15" max="15" width="8" customWidth="1"/>
    <col min="16" max="16" width="7.625" customWidth="1"/>
    <col min="17" max="17" width="8.625" customWidth="1"/>
    <col min="18" max="18" width="6.75" customWidth="1"/>
    <col min="19" max="19" width="8" customWidth="1"/>
    <col min="20" max="22" width="9" customWidth="1"/>
    <col min="23" max="23" width="2.875" customWidth="1"/>
    <col min="24" max="26" width="9" customWidth="1"/>
  </cols>
  <sheetData>
    <row r="1" spans="1:23" ht="36.950000000000003" customHeight="1">
      <c r="A1" s="642" t="s">
        <v>2121</v>
      </c>
      <c r="B1" s="642"/>
      <c r="C1" s="642"/>
      <c r="D1" s="642"/>
      <c r="E1" s="642"/>
      <c r="F1" s="642"/>
      <c r="G1" s="642"/>
      <c r="H1" s="642"/>
      <c r="I1" s="642"/>
      <c r="J1" s="642"/>
      <c r="K1" s="642"/>
      <c r="L1" s="642"/>
      <c r="M1" s="642"/>
      <c r="N1" s="642"/>
      <c r="O1" s="642"/>
      <c r="P1" s="642"/>
      <c r="Q1" s="642"/>
      <c r="R1" s="643"/>
      <c r="S1" s="642"/>
    </row>
    <row r="2" spans="1:23" ht="36.950000000000003" customHeight="1">
      <c r="A2" s="693" t="s">
        <v>9</v>
      </c>
      <c r="B2" s="693" t="s">
        <v>131</v>
      </c>
      <c r="C2" s="696" t="s">
        <v>132</v>
      </c>
      <c r="D2" s="693" t="s">
        <v>133</v>
      </c>
      <c r="E2" s="693" t="s">
        <v>134</v>
      </c>
      <c r="F2" s="693" t="s">
        <v>135</v>
      </c>
      <c r="G2" s="693" t="s">
        <v>136</v>
      </c>
      <c r="H2" s="693" t="s">
        <v>44</v>
      </c>
      <c r="I2" s="699" t="s">
        <v>140</v>
      </c>
      <c r="J2" s="699" t="s">
        <v>141</v>
      </c>
      <c r="K2" s="699" t="s">
        <v>142</v>
      </c>
      <c r="L2" s="690" t="s">
        <v>143</v>
      </c>
      <c r="M2" s="691"/>
      <c r="N2" s="691"/>
      <c r="O2" s="691"/>
      <c r="P2" s="691"/>
      <c r="Q2" s="692"/>
      <c r="R2" s="515"/>
      <c r="S2" s="699" t="s">
        <v>11</v>
      </c>
    </row>
    <row r="3" spans="1:23" ht="78.599999999999994" customHeight="1">
      <c r="A3" s="694"/>
      <c r="B3" s="694"/>
      <c r="C3" s="697"/>
      <c r="D3" s="694"/>
      <c r="E3" s="694"/>
      <c r="F3" s="694"/>
      <c r="G3" s="694"/>
      <c r="H3" s="694"/>
      <c r="I3" s="700"/>
      <c r="J3" s="700"/>
      <c r="K3" s="700"/>
      <c r="L3" s="516" t="s">
        <v>144</v>
      </c>
      <c r="M3" s="516" t="s">
        <v>145</v>
      </c>
      <c r="N3" s="516" t="s">
        <v>695</v>
      </c>
      <c r="O3" s="517" t="s">
        <v>147</v>
      </c>
      <c r="P3" s="517" t="s">
        <v>148</v>
      </c>
      <c r="Q3" s="517" t="s">
        <v>149</v>
      </c>
      <c r="R3" s="517" t="s">
        <v>150</v>
      </c>
      <c r="S3" s="701"/>
    </row>
    <row r="4" spans="1:23" ht="36.950000000000003" customHeight="1">
      <c r="A4" s="695"/>
      <c r="B4" s="695"/>
      <c r="C4" s="698"/>
      <c r="D4" s="695"/>
      <c r="E4" s="695"/>
      <c r="F4" s="695"/>
      <c r="G4" s="695"/>
      <c r="H4" s="695"/>
      <c r="I4" s="518" t="s">
        <v>151</v>
      </c>
      <c r="J4" s="519" t="s">
        <v>152</v>
      </c>
      <c r="K4" s="518" t="s">
        <v>153</v>
      </c>
      <c r="L4" s="520" t="s">
        <v>154</v>
      </c>
      <c r="M4" s="521" t="s">
        <v>155</v>
      </c>
      <c r="N4" s="521" t="s">
        <v>156</v>
      </c>
      <c r="O4" s="522" t="s">
        <v>157</v>
      </c>
      <c r="P4" s="522" t="s">
        <v>158</v>
      </c>
      <c r="Q4" s="523" t="s">
        <v>696</v>
      </c>
      <c r="R4" s="523" t="s">
        <v>159</v>
      </c>
      <c r="S4" s="700"/>
    </row>
    <row r="5" spans="1:23" ht="36.950000000000003" customHeight="1">
      <c r="A5" s="501" t="s">
        <v>45</v>
      </c>
      <c r="B5" s="209">
        <v>1</v>
      </c>
      <c r="C5" s="211" t="s">
        <v>2010</v>
      </c>
      <c r="D5" s="211"/>
      <c r="E5" s="209"/>
      <c r="F5" s="221"/>
      <c r="G5" s="221"/>
      <c r="H5" s="502"/>
      <c r="I5" s="224"/>
      <c r="J5" s="224"/>
      <c r="K5" s="224"/>
      <c r="L5" s="225"/>
      <c r="M5" s="225"/>
      <c r="N5" s="225"/>
      <c r="O5" s="225"/>
      <c r="P5" s="340"/>
      <c r="Q5" s="224"/>
      <c r="R5" s="341"/>
      <c r="S5" s="264"/>
      <c r="T5" s="2"/>
      <c r="U5" s="2"/>
      <c r="V5" s="2"/>
      <c r="W5" s="2"/>
    </row>
    <row r="6" spans="1:23" ht="30" customHeight="1" outlineLevel="1">
      <c r="A6" s="503">
        <v>1</v>
      </c>
      <c r="B6" s="221">
        <v>2</v>
      </c>
      <c r="C6" s="504"/>
      <c r="D6" s="505"/>
      <c r="E6" s="506"/>
      <c r="F6" s="507"/>
      <c r="G6" s="508"/>
      <c r="H6" s="509">
        <f>G6*I6</f>
        <v>0</v>
      </c>
      <c r="I6" s="224">
        <f>J6+K6</f>
        <v>0</v>
      </c>
      <c r="J6" s="224">
        <f t="shared" ref="J6:J7" si="0">K6*0.09</f>
        <v>0</v>
      </c>
      <c r="K6" s="224">
        <f>L6+M6+N6+O6+Q6</f>
        <v>0</v>
      </c>
      <c r="L6" s="508"/>
      <c r="M6" s="508"/>
      <c r="N6" s="508"/>
      <c r="O6" s="508"/>
      <c r="P6" s="226">
        <v>0.1</v>
      </c>
      <c r="Q6" s="227">
        <f>SUM(L6:O6)*P6</f>
        <v>0</v>
      </c>
      <c r="R6" s="342"/>
      <c r="S6" s="220"/>
    </row>
    <row r="7" spans="1:23" ht="37.5" customHeight="1" outlineLevel="1">
      <c r="A7" s="503">
        <v>2</v>
      </c>
      <c r="B7" s="221">
        <v>2</v>
      </c>
      <c r="C7" s="504"/>
      <c r="D7" s="505"/>
      <c r="E7" s="506"/>
      <c r="F7" s="510"/>
      <c r="G7" s="510"/>
      <c r="H7" s="509">
        <f>G7*I7</f>
        <v>0</v>
      </c>
      <c r="I7" s="224">
        <f t="shared" ref="I7" si="1">J7+K7</f>
        <v>0</v>
      </c>
      <c r="J7" s="224">
        <f t="shared" si="0"/>
        <v>0</v>
      </c>
      <c r="K7" s="224">
        <f t="shared" ref="K7" si="2">L7+M7+N7+O7+Q7</f>
        <v>0</v>
      </c>
      <c r="L7" s="508"/>
      <c r="M7" s="508"/>
      <c r="N7" s="508"/>
      <c r="O7" s="508"/>
      <c r="P7" s="226">
        <v>0.1</v>
      </c>
      <c r="Q7" s="227">
        <f t="shared" ref="Q7" si="3">SUM(L7:O7)*P7</f>
        <v>0</v>
      </c>
      <c r="R7" s="342"/>
      <c r="S7" s="220"/>
    </row>
    <row r="8" spans="1:23" ht="37.5" customHeight="1" outlineLevel="1">
      <c r="A8" s="503"/>
      <c r="B8" s="221"/>
      <c r="C8" s="688" t="s">
        <v>2122</v>
      </c>
      <c r="D8" s="689"/>
      <c r="E8" s="689"/>
      <c r="F8" s="689"/>
      <c r="G8" s="689"/>
      <c r="H8" s="524"/>
      <c r="I8" s="525"/>
      <c r="J8" s="525"/>
      <c r="K8" s="525"/>
      <c r="L8" s="526"/>
      <c r="M8" s="526"/>
      <c r="N8" s="526"/>
      <c r="O8" s="526"/>
      <c r="P8" s="527"/>
      <c r="Q8" s="528"/>
      <c r="R8" s="529"/>
      <c r="S8" s="530"/>
    </row>
    <row r="9" spans="1:23" ht="30.6" customHeight="1">
      <c r="A9" s="511"/>
      <c r="B9" s="511"/>
      <c r="C9" s="554" t="s">
        <v>2141</v>
      </c>
      <c r="D9" s="511"/>
      <c r="E9" s="511"/>
      <c r="F9" s="512"/>
      <c r="G9" s="512"/>
      <c r="H9" s="513">
        <f>SUM(H6:H8)</f>
        <v>0</v>
      </c>
      <c r="I9" s="514"/>
      <c r="J9" s="514"/>
      <c r="K9" s="514"/>
      <c r="L9" s="512"/>
      <c r="M9" s="512"/>
      <c r="N9" s="512"/>
      <c r="O9" s="512"/>
      <c r="P9" s="512"/>
      <c r="Q9" s="512"/>
      <c r="R9" s="512"/>
      <c r="S9" s="512"/>
    </row>
    <row r="12" spans="1:23" ht="36.950000000000003" customHeight="1">
      <c r="M12" s="1"/>
    </row>
  </sheetData>
  <mergeCells count="15">
    <mergeCell ref="C8:G8"/>
    <mergeCell ref="A1:S1"/>
    <mergeCell ref="L2:Q2"/>
    <mergeCell ref="A2:A4"/>
    <mergeCell ref="B2:B4"/>
    <mergeCell ref="C2:C4"/>
    <mergeCell ref="D2:D4"/>
    <mergeCell ref="E2:E4"/>
    <mergeCell ref="F2:F4"/>
    <mergeCell ref="G2:G4"/>
    <mergeCell ref="H2:H4"/>
    <mergeCell ref="I2:I3"/>
    <mergeCell ref="J2:J3"/>
    <mergeCell ref="K2:K3"/>
    <mergeCell ref="S2:S4"/>
  </mergeCells>
  <phoneticPr fontId="112" type="noConversion"/>
  <printOptions horizontalCentered="1"/>
  <pageMargins left="0.19685039370078741" right="0.19685039370078741" top="0.98425196850393704" bottom="0.39370078740157483" header="0" footer="0.31496062992125984"/>
  <pageSetup paperSize="9" scale="90" orientation="landscape" r:id="rId1"/>
  <headerFooter>
    <oddFooter>第 &amp;P 页，共 &amp;N 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7"/>
  <sheetViews>
    <sheetView view="pageBreakPreview" zoomScaleNormal="85" zoomScaleSheetLayoutView="100" workbookViewId="0">
      <selection activeCell="E11" sqref="E11"/>
    </sheetView>
  </sheetViews>
  <sheetFormatPr defaultColWidth="62.75" defaultRowHeight="13.5"/>
  <cols>
    <col min="1" max="1" width="3.5" customWidth="1"/>
    <col min="2" max="2" width="13.375" customWidth="1"/>
    <col min="3" max="3" width="70" customWidth="1"/>
    <col min="4" max="4" width="5.75" customWidth="1"/>
    <col min="5" max="5" width="11.5" customWidth="1"/>
    <col min="6" max="6" width="26.375" customWidth="1"/>
    <col min="13" max="13" width="40.5" customWidth="1"/>
    <col min="14" max="20" width="62.75" customWidth="1"/>
    <col min="21" max="21" width="2.875" customWidth="1"/>
    <col min="22" max="24" width="62.75" customWidth="1"/>
  </cols>
  <sheetData>
    <row r="1" spans="1:6" ht="27.75" customHeight="1">
      <c r="A1" s="702" t="s">
        <v>1798</v>
      </c>
      <c r="B1" s="702"/>
      <c r="C1" s="702"/>
      <c r="D1" s="702"/>
      <c r="E1" s="702"/>
      <c r="F1" s="703"/>
    </row>
    <row r="2" spans="1:6" ht="30.2" customHeight="1">
      <c r="A2" s="704" t="s">
        <v>1799</v>
      </c>
      <c r="B2" s="704"/>
      <c r="C2" s="704"/>
      <c r="D2" s="704"/>
      <c r="E2" s="704"/>
      <c r="F2" s="704"/>
    </row>
    <row r="3" spans="1:6" ht="22.5">
      <c r="A3" s="421" t="s">
        <v>9</v>
      </c>
      <c r="B3" s="421" t="s">
        <v>1800</v>
      </c>
      <c r="C3" s="421" t="s">
        <v>133</v>
      </c>
      <c r="D3" s="421" t="s">
        <v>135</v>
      </c>
      <c r="E3" s="422" t="s">
        <v>1801</v>
      </c>
      <c r="F3" s="421" t="s">
        <v>1802</v>
      </c>
    </row>
    <row r="4" spans="1:6">
      <c r="A4" s="421" t="s">
        <v>45</v>
      </c>
      <c r="B4" s="421" t="s">
        <v>1803</v>
      </c>
      <c r="C4" s="421"/>
      <c r="D4" s="421"/>
      <c r="E4" s="422"/>
      <c r="F4" s="421"/>
    </row>
    <row r="5" spans="1:6" ht="67.900000000000006" customHeight="1">
      <c r="A5" s="421">
        <v>1</v>
      </c>
      <c r="B5" s="423" t="s">
        <v>1804</v>
      </c>
      <c r="C5" s="424" t="s">
        <v>2055</v>
      </c>
      <c r="D5" s="425" t="s">
        <v>1805</v>
      </c>
      <c r="E5" s="426">
        <f>12000/30</f>
        <v>400</v>
      </c>
      <c r="F5" s="427" t="s">
        <v>1806</v>
      </c>
    </row>
    <row r="6" spans="1:6" ht="66" customHeight="1">
      <c r="A6" s="421">
        <v>2</v>
      </c>
      <c r="B6" s="423" t="s">
        <v>1807</v>
      </c>
      <c r="C6" s="424" t="s">
        <v>2055</v>
      </c>
      <c r="D6" s="425" t="s">
        <v>1805</v>
      </c>
      <c r="E6" s="426">
        <f>15000/30</f>
        <v>500</v>
      </c>
      <c r="F6" s="427" t="s">
        <v>1806</v>
      </c>
    </row>
    <row r="7" spans="1:6" ht="63.6" customHeight="1">
      <c r="A7" s="421">
        <v>3</v>
      </c>
      <c r="B7" s="423" t="s">
        <v>1808</v>
      </c>
      <c r="C7" s="423" t="s">
        <v>2112</v>
      </c>
      <c r="D7" s="425" t="s">
        <v>1805</v>
      </c>
      <c r="E7" s="426">
        <f>18000/30</f>
        <v>600</v>
      </c>
      <c r="F7" s="427" t="s">
        <v>1806</v>
      </c>
    </row>
    <row r="8" spans="1:6" ht="56.25">
      <c r="A8" s="421">
        <v>4</v>
      </c>
      <c r="B8" s="423" t="s">
        <v>1809</v>
      </c>
      <c r="C8" s="423" t="s">
        <v>2112</v>
      </c>
      <c r="D8" s="425" t="s">
        <v>1805</v>
      </c>
      <c r="E8" s="426">
        <f>22000/30</f>
        <v>733.33333333333303</v>
      </c>
      <c r="F8" s="427" t="s">
        <v>1806</v>
      </c>
    </row>
    <row r="9" spans="1:6" ht="34.9" customHeight="1">
      <c r="A9" s="421">
        <v>5</v>
      </c>
      <c r="B9" s="428" t="s">
        <v>1810</v>
      </c>
      <c r="C9" s="423" t="s">
        <v>1811</v>
      </c>
      <c r="D9" s="429" t="s">
        <v>162</v>
      </c>
      <c r="E9" s="430">
        <f>400*1.1*1.1</f>
        <v>484</v>
      </c>
      <c r="F9" s="431" t="s">
        <v>1812</v>
      </c>
    </row>
    <row r="10" spans="1:6" ht="30" customHeight="1">
      <c r="A10" s="421">
        <v>6</v>
      </c>
      <c r="B10" s="428" t="s">
        <v>1813</v>
      </c>
      <c r="C10" s="423" t="s">
        <v>1814</v>
      </c>
      <c r="D10" s="429" t="s">
        <v>162</v>
      </c>
      <c r="E10" s="430">
        <f>260*1.1*1.1</f>
        <v>314.60000000000002</v>
      </c>
      <c r="F10" s="431" t="s">
        <v>1812</v>
      </c>
    </row>
    <row r="11" spans="1:6" ht="31.9" customHeight="1">
      <c r="A11" s="421">
        <v>7</v>
      </c>
      <c r="B11" s="428" t="s">
        <v>1815</v>
      </c>
      <c r="C11" s="423" t="s">
        <v>1816</v>
      </c>
      <c r="D11" s="429" t="s">
        <v>162</v>
      </c>
      <c r="E11" s="430">
        <f>200*1.1*1.1</f>
        <v>242</v>
      </c>
      <c r="F11" s="431" t="s">
        <v>1812</v>
      </c>
    </row>
    <row r="12" spans="1:6" ht="19.899999999999999" customHeight="1">
      <c r="A12" s="421">
        <v>8</v>
      </c>
      <c r="B12" s="428" t="s">
        <v>1817</v>
      </c>
      <c r="C12" s="423" t="s">
        <v>1818</v>
      </c>
      <c r="D12" s="429" t="s">
        <v>162</v>
      </c>
      <c r="E12" s="430">
        <f>25*1.1*1.1</f>
        <v>30.25</v>
      </c>
      <c r="F12" s="431" t="s">
        <v>1812</v>
      </c>
    </row>
    <row r="13" spans="1:6" ht="37.15" customHeight="1">
      <c r="A13" s="421">
        <v>10</v>
      </c>
      <c r="B13" s="432" t="s">
        <v>1819</v>
      </c>
      <c r="C13" s="433" t="s">
        <v>1820</v>
      </c>
      <c r="D13" s="433" t="s">
        <v>1821</v>
      </c>
      <c r="E13" s="426">
        <v>170</v>
      </c>
      <c r="F13" s="427" t="s">
        <v>1806</v>
      </c>
    </row>
    <row r="14" spans="1:6" ht="36" customHeight="1">
      <c r="A14" s="421">
        <v>11</v>
      </c>
      <c r="B14" s="432" t="s">
        <v>2113</v>
      </c>
      <c r="C14" s="433" t="s">
        <v>1820</v>
      </c>
      <c r="D14" s="433" t="s">
        <v>1821</v>
      </c>
      <c r="E14" s="426">
        <v>220</v>
      </c>
      <c r="F14" s="427" t="s">
        <v>1806</v>
      </c>
    </row>
    <row r="15" spans="1:6" ht="33" customHeight="1">
      <c r="A15" s="421">
        <v>12</v>
      </c>
      <c r="B15" s="432" t="s">
        <v>2114</v>
      </c>
      <c r="C15" s="433" t="s">
        <v>1820</v>
      </c>
      <c r="D15" s="433" t="s">
        <v>1821</v>
      </c>
      <c r="E15" s="426">
        <v>280</v>
      </c>
      <c r="F15" s="427" t="s">
        <v>1806</v>
      </c>
    </row>
    <row r="16" spans="1:6" ht="36.6" customHeight="1">
      <c r="A16" s="421">
        <v>13</v>
      </c>
      <c r="B16" s="432" t="s">
        <v>2115</v>
      </c>
      <c r="C16" s="433" t="s">
        <v>1820</v>
      </c>
      <c r="D16" s="433" t="s">
        <v>1821</v>
      </c>
      <c r="E16" s="426">
        <v>320</v>
      </c>
      <c r="F16" s="427" t="s">
        <v>1806</v>
      </c>
    </row>
    <row r="17" spans="1:6" ht="28.15" customHeight="1">
      <c r="A17" s="421">
        <v>14</v>
      </c>
      <c r="B17" s="432" t="s">
        <v>2116</v>
      </c>
      <c r="C17" s="433" t="s">
        <v>1820</v>
      </c>
      <c r="D17" s="433" t="s">
        <v>1821</v>
      </c>
      <c r="E17" s="426">
        <v>380</v>
      </c>
      <c r="F17" s="427" t="s">
        <v>1806</v>
      </c>
    </row>
    <row r="18" spans="1:6" ht="22.5">
      <c r="A18" s="421">
        <v>15</v>
      </c>
      <c r="B18" s="432" t="s">
        <v>1822</v>
      </c>
      <c r="C18" s="433" t="s">
        <v>1820</v>
      </c>
      <c r="D18" s="425" t="s">
        <v>1805</v>
      </c>
      <c r="E18" s="434">
        <f>8000/30</f>
        <v>266.66666666666703</v>
      </c>
      <c r="F18" s="427" t="s">
        <v>1806</v>
      </c>
    </row>
    <row r="19" spans="1:6" ht="22.5">
      <c r="A19" s="421">
        <v>16</v>
      </c>
      <c r="B19" s="432" t="s">
        <v>1823</v>
      </c>
      <c r="C19" s="433" t="s">
        <v>1820</v>
      </c>
      <c r="D19" s="425" t="s">
        <v>1805</v>
      </c>
      <c r="E19" s="434">
        <v>333.33333333333297</v>
      </c>
      <c r="F19" s="427" t="s">
        <v>1806</v>
      </c>
    </row>
    <row r="20" spans="1:6" ht="22.5">
      <c r="A20" s="421">
        <v>17</v>
      </c>
      <c r="B20" s="432" t="s">
        <v>1824</v>
      </c>
      <c r="C20" s="433" t="s">
        <v>1820</v>
      </c>
      <c r="D20" s="425" t="s">
        <v>1805</v>
      </c>
      <c r="E20" s="434">
        <f>12000/30</f>
        <v>400</v>
      </c>
      <c r="F20" s="427" t="s">
        <v>1806</v>
      </c>
    </row>
    <row r="21" spans="1:6" ht="22.5">
      <c r="A21" s="421">
        <v>18</v>
      </c>
      <c r="B21" s="432" t="s">
        <v>1825</v>
      </c>
      <c r="C21" s="433" t="s">
        <v>1820</v>
      </c>
      <c r="D21" s="425" t="s">
        <v>1805</v>
      </c>
      <c r="E21" s="434">
        <f>14000/30</f>
        <v>466.66666666666703</v>
      </c>
      <c r="F21" s="427" t="s">
        <v>1806</v>
      </c>
    </row>
    <row r="22" spans="1:6" ht="22.5">
      <c r="A22" s="421">
        <v>19</v>
      </c>
      <c r="B22" s="432" t="s">
        <v>1826</v>
      </c>
      <c r="C22" s="433" t="s">
        <v>1820</v>
      </c>
      <c r="D22" s="425" t="s">
        <v>1805</v>
      </c>
      <c r="E22" s="434">
        <f>15000/30</f>
        <v>500</v>
      </c>
      <c r="F22" s="427" t="s">
        <v>1806</v>
      </c>
    </row>
    <row r="23" spans="1:6" ht="22.5">
      <c r="A23" s="421">
        <v>20</v>
      </c>
      <c r="B23" s="432" t="s">
        <v>1827</v>
      </c>
      <c r="C23" s="433" t="s">
        <v>1820</v>
      </c>
      <c r="D23" s="425" t="s">
        <v>1805</v>
      </c>
      <c r="E23" s="434">
        <f>17000/30</f>
        <v>566.66666666666697</v>
      </c>
      <c r="F23" s="427" t="s">
        <v>1806</v>
      </c>
    </row>
    <row r="24" spans="1:6" ht="22.5">
      <c r="A24" s="421">
        <v>21</v>
      </c>
      <c r="B24" s="432" t="s">
        <v>1828</v>
      </c>
      <c r="C24" s="433" t="s">
        <v>1820</v>
      </c>
      <c r="D24" s="425" t="s">
        <v>1805</v>
      </c>
      <c r="E24" s="434">
        <f>20000/30</f>
        <v>666.66666666666697</v>
      </c>
      <c r="F24" s="427" t="s">
        <v>1806</v>
      </c>
    </row>
    <row r="25" spans="1:6" ht="38.450000000000003" customHeight="1">
      <c r="A25" s="421">
        <v>40</v>
      </c>
      <c r="B25" s="435" t="s">
        <v>1829</v>
      </c>
      <c r="C25" s="433" t="s">
        <v>1830</v>
      </c>
      <c r="D25" s="436" t="s">
        <v>524</v>
      </c>
      <c r="E25" s="434">
        <v>15</v>
      </c>
      <c r="F25" s="427" t="s">
        <v>1831</v>
      </c>
    </row>
    <row r="26" spans="1:6" ht="22.5">
      <c r="A26" s="421">
        <v>41</v>
      </c>
      <c r="B26" s="435" t="s">
        <v>1832</v>
      </c>
      <c r="C26" s="433" t="s">
        <v>1830</v>
      </c>
      <c r="D26" s="436" t="s">
        <v>524</v>
      </c>
      <c r="E26" s="434">
        <v>25</v>
      </c>
      <c r="F26" s="427" t="s">
        <v>1831</v>
      </c>
    </row>
    <row r="27" spans="1:6" ht="29.45" customHeight="1">
      <c r="A27" s="421">
        <v>42</v>
      </c>
      <c r="B27" s="435" t="s">
        <v>1833</v>
      </c>
      <c r="C27" s="433" t="s">
        <v>1830</v>
      </c>
      <c r="D27" s="436" t="s">
        <v>524</v>
      </c>
      <c r="E27" s="434">
        <v>50</v>
      </c>
      <c r="F27" s="427" t="s">
        <v>1831</v>
      </c>
    </row>
    <row r="28" spans="1:6" ht="32.450000000000003" customHeight="1">
      <c r="A28" s="421">
        <v>43</v>
      </c>
      <c r="B28" s="435" t="s">
        <v>1834</v>
      </c>
      <c r="C28" s="433" t="s">
        <v>1835</v>
      </c>
      <c r="D28" s="436" t="s">
        <v>524</v>
      </c>
      <c r="E28" s="434">
        <v>20</v>
      </c>
      <c r="F28" s="427" t="s">
        <v>1831</v>
      </c>
    </row>
    <row r="29" spans="1:6" ht="32.450000000000003" customHeight="1">
      <c r="A29" s="421">
        <v>44</v>
      </c>
      <c r="B29" s="435" t="s">
        <v>1836</v>
      </c>
      <c r="C29" s="433" t="s">
        <v>1835</v>
      </c>
      <c r="D29" s="436" t="s">
        <v>524</v>
      </c>
      <c r="E29" s="434">
        <v>80</v>
      </c>
      <c r="F29" s="427" t="s">
        <v>1831</v>
      </c>
    </row>
    <row r="30" spans="1:6" ht="24.6" customHeight="1">
      <c r="A30" s="421">
        <v>45</v>
      </c>
      <c r="B30" s="435" t="s">
        <v>1837</v>
      </c>
      <c r="C30" s="433" t="s">
        <v>1835</v>
      </c>
      <c r="D30" s="436" t="s">
        <v>524</v>
      </c>
      <c r="E30" s="434">
        <v>150</v>
      </c>
      <c r="F30" s="427" t="s">
        <v>1831</v>
      </c>
    </row>
    <row r="31" spans="1:6" ht="30" customHeight="1">
      <c r="A31" s="421">
        <v>46</v>
      </c>
      <c r="B31" s="435" t="s">
        <v>1838</v>
      </c>
      <c r="C31" s="433" t="s">
        <v>1835</v>
      </c>
      <c r="D31" s="436" t="s">
        <v>524</v>
      </c>
      <c r="E31" s="434">
        <v>15</v>
      </c>
      <c r="F31" s="427" t="s">
        <v>1831</v>
      </c>
    </row>
    <row r="32" spans="1:6" ht="30.6" customHeight="1">
      <c r="A32" s="421">
        <v>47</v>
      </c>
      <c r="B32" s="435" t="s">
        <v>1839</v>
      </c>
      <c r="C32" s="433" t="s">
        <v>1835</v>
      </c>
      <c r="D32" s="436" t="s">
        <v>524</v>
      </c>
      <c r="E32" s="434">
        <v>25</v>
      </c>
      <c r="F32" s="427" t="s">
        <v>1831</v>
      </c>
    </row>
    <row r="33" spans="1:6" ht="33" customHeight="1">
      <c r="A33" s="421">
        <v>48</v>
      </c>
      <c r="B33" s="435" t="s">
        <v>1840</v>
      </c>
      <c r="C33" s="433" t="s">
        <v>1835</v>
      </c>
      <c r="D33" s="436" t="s">
        <v>524</v>
      </c>
      <c r="E33" s="434">
        <v>50</v>
      </c>
      <c r="F33" s="427" t="s">
        <v>1831</v>
      </c>
    </row>
    <row r="34" spans="1:6" ht="22.5">
      <c r="A34" s="437" t="s">
        <v>59</v>
      </c>
      <c r="B34" s="438" t="s">
        <v>1841</v>
      </c>
      <c r="C34" s="433"/>
      <c r="D34" s="433"/>
      <c r="E34" s="426"/>
      <c r="F34" s="439"/>
    </row>
    <row r="35" spans="1:6">
      <c r="A35" s="421">
        <v>1</v>
      </c>
      <c r="B35" s="432" t="s">
        <v>1842</v>
      </c>
      <c r="C35" s="433" t="s">
        <v>1843</v>
      </c>
      <c r="D35" s="425" t="s">
        <v>1844</v>
      </c>
      <c r="E35" s="426">
        <v>200</v>
      </c>
      <c r="F35" s="440"/>
    </row>
    <row r="36" spans="1:6" ht="22.5">
      <c r="A36" s="421">
        <v>2</v>
      </c>
      <c r="B36" s="432" t="s">
        <v>1845</v>
      </c>
      <c r="C36" s="433" t="s">
        <v>1846</v>
      </c>
      <c r="D36" s="425" t="s">
        <v>1847</v>
      </c>
      <c r="E36" s="441">
        <v>20000</v>
      </c>
      <c r="F36" s="427" t="s">
        <v>1806</v>
      </c>
    </row>
    <row r="37" spans="1:6" ht="22.5">
      <c r="A37" s="421">
        <v>3</v>
      </c>
      <c r="B37" s="432" t="s">
        <v>1848</v>
      </c>
      <c r="C37" s="433" t="s">
        <v>1846</v>
      </c>
      <c r="D37" s="425" t="s">
        <v>1847</v>
      </c>
      <c r="E37" s="441">
        <v>20000</v>
      </c>
      <c r="F37" s="427" t="s">
        <v>1806</v>
      </c>
    </row>
    <row r="38" spans="1:6" ht="22.5">
      <c r="A38" s="421">
        <v>4</v>
      </c>
      <c r="B38" s="432" t="s">
        <v>1849</v>
      </c>
      <c r="C38" s="433" t="s">
        <v>1846</v>
      </c>
      <c r="D38" s="425" t="s">
        <v>1847</v>
      </c>
      <c r="E38" s="441">
        <v>28000</v>
      </c>
      <c r="F38" s="427" t="s">
        <v>1806</v>
      </c>
    </row>
    <row r="39" spans="1:6" ht="22.5">
      <c r="A39" s="421">
        <v>6</v>
      </c>
      <c r="B39" s="432" t="s">
        <v>1850</v>
      </c>
      <c r="C39" s="433" t="s">
        <v>1851</v>
      </c>
      <c r="D39" s="425" t="s">
        <v>1852</v>
      </c>
      <c r="E39" s="426">
        <v>13000</v>
      </c>
      <c r="F39" s="427" t="s">
        <v>1806</v>
      </c>
    </row>
    <row r="40" spans="1:6" ht="22.5">
      <c r="A40" s="421">
        <v>7</v>
      </c>
      <c r="B40" s="432" t="s">
        <v>1853</v>
      </c>
      <c r="C40" s="433" t="s">
        <v>1851</v>
      </c>
      <c r="D40" s="425" t="s">
        <v>1852</v>
      </c>
      <c r="E40" s="426">
        <v>13000</v>
      </c>
      <c r="F40" s="427" t="s">
        <v>1806</v>
      </c>
    </row>
    <row r="41" spans="1:6" ht="22.5">
      <c r="A41" s="421">
        <v>8</v>
      </c>
      <c r="B41" s="432" t="s">
        <v>1854</v>
      </c>
      <c r="C41" s="433" t="s">
        <v>1851</v>
      </c>
      <c r="D41" s="425" t="s">
        <v>1852</v>
      </c>
      <c r="E41" s="426">
        <v>25000</v>
      </c>
      <c r="F41" s="427" t="s">
        <v>1806</v>
      </c>
    </row>
    <row r="42" spans="1:6" ht="30" customHeight="1">
      <c r="A42" s="421">
        <v>10</v>
      </c>
      <c r="B42" s="432" t="s">
        <v>1855</v>
      </c>
      <c r="C42" s="433" t="s">
        <v>1846</v>
      </c>
      <c r="D42" s="433" t="s">
        <v>1856</v>
      </c>
      <c r="E42" s="441">
        <v>400</v>
      </c>
      <c r="F42" s="427" t="s">
        <v>1806</v>
      </c>
    </row>
    <row r="43" spans="1:6" ht="31.15" customHeight="1">
      <c r="A43" s="421">
        <v>12</v>
      </c>
      <c r="B43" s="432" t="s">
        <v>1857</v>
      </c>
      <c r="C43" s="433" t="s">
        <v>1846</v>
      </c>
      <c r="D43" s="433" t="s">
        <v>1856</v>
      </c>
      <c r="E43" s="441">
        <v>500</v>
      </c>
      <c r="F43" s="427" t="s">
        <v>1806</v>
      </c>
    </row>
    <row r="44" spans="1:6" ht="22.5">
      <c r="A44" s="421">
        <v>13</v>
      </c>
      <c r="B44" s="432" t="s">
        <v>1858</v>
      </c>
      <c r="C44" s="433" t="s">
        <v>1846</v>
      </c>
      <c r="D44" s="433" t="s">
        <v>1859</v>
      </c>
      <c r="E44" s="441">
        <v>400</v>
      </c>
      <c r="F44" s="440" t="s">
        <v>1860</v>
      </c>
    </row>
    <row r="45" spans="1:6" ht="22.5">
      <c r="A45" s="421">
        <v>14</v>
      </c>
      <c r="B45" s="432" t="s">
        <v>1861</v>
      </c>
      <c r="C45" s="433" t="s">
        <v>1846</v>
      </c>
      <c r="D45" s="433" t="s">
        <v>1859</v>
      </c>
      <c r="E45" s="441">
        <v>400</v>
      </c>
      <c r="F45" s="440" t="s">
        <v>1860</v>
      </c>
    </row>
    <row r="46" spans="1:6" ht="26.45" customHeight="1">
      <c r="A46" s="421">
        <v>15</v>
      </c>
      <c r="B46" s="432" t="s">
        <v>1862</v>
      </c>
      <c r="C46" s="433" t="s">
        <v>1863</v>
      </c>
      <c r="D46" s="433" t="s">
        <v>1864</v>
      </c>
      <c r="E46" s="441">
        <v>7000</v>
      </c>
      <c r="F46" s="440" t="s">
        <v>1865</v>
      </c>
    </row>
    <row r="47" spans="1:6" ht="22.5">
      <c r="A47" s="421">
        <v>16</v>
      </c>
      <c r="B47" s="432" t="s">
        <v>1866</v>
      </c>
      <c r="C47" s="433" t="s">
        <v>1851</v>
      </c>
      <c r="D47" s="433" t="s">
        <v>1852</v>
      </c>
      <c r="E47" s="441">
        <v>12000</v>
      </c>
      <c r="F47" s="427" t="s">
        <v>1806</v>
      </c>
    </row>
    <row r="48" spans="1:6" ht="22.5">
      <c r="A48" s="421">
        <v>17</v>
      </c>
      <c r="B48" s="432" t="s">
        <v>1867</v>
      </c>
      <c r="C48" s="433" t="s">
        <v>1851</v>
      </c>
      <c r="D48" s="433" t="s">
        <v>1852</v>
      </c>
      <c r="E48" s="441">
        <v>12000</v>
      </c>
      <c r="F48" s="427" t="s">
        <v>1806</v>
      </c>
    </row>
    <row r="49" spans="1:6" ht="29.45" customHeight="1">
      <c r="A49" s="421">
        <v>18</v>
      </c>
      <c r="B49" s="432" t="s">
        <v>1868</v>
      </c>
      <c r="C49" s="433" t="s">
        <v>1863</v>
      </c>
      <c r="D49" s="433" t="s">
        <v>1864</v>
      </c>
      <c r="E49" s="426">
        <v>6500</v>
      </c>
      <c r="F49" s="440" t="s">
        <v>1869</v>
      </c>
    </row>
    <row r="50" spans="1:6" ht="22.5">
      <c r="A50" s="421">
        <v>19</v>
      </c>
      <c r="B50" s="432" t="s">
        <v>1870</v>
      </c>
      <c r="C50" s="433" t="s">
        <v>1871</v>
      </c>
      <c r="D50" s="433" t="s">
        <v>2117</v>
      </c>
      <c r="E50" s="434">
        <v>3</v>
      </c>
      <c r="F50" s="440" t="s">
        <v>1872</v>
      </c>
    </row>
    <row r="51" spans="1:6" ht="22.5">
      <c r="A51" s="421">
        <v>20</v>
      </c>
      <c r="B51" s="432" t="s">
        <v>1873</v>
      </c>
      <c r="C51" s="433" t="s">
        <v>1846</v>
      </c>
      <c r="D51" s="433" t="s">
        <v>1874</v>
      </c>
      <c r="E51" s="439">
        <v>1.0999999999999999E-2</v>
      </c>
      <c r="F51" s="427" t="s">
        <v>1806</v>
      </c>
    </row>
    <row r="52" spans="1:6" ht="22.5">
      <c r="A52" s="421">
        <v>21</v>
      </c>
      <c r="B52" s="432" t="s">
        <v>1875</v>
      </c>
      <c r="C52" s="433" t="s">
        <v>1846</v>
      </c>
      <c r="D52" s="433" t="s">
        <v>2118</v>
      </c>
      <c r="E52" s="439">
        <v>8.9999999999999993E-3</v>
      </c>
      <c r="F52" s="427" t="s">
        <v>1806</v>
      </c>
    </row>
    <row r="53" spans="1:6" ht="22.5">
      <c r="A53" s="421">
        <v>22</v>
      </c>
      <c r="B53" s="432" t="s">
        <v>1876</v>
      </c>
      <c r="C53" s="433"/>
      <c r="D53" s="433" t="s">
        <v>162</v>
      </c>
      <c r="E53" s="426">
        <v>25</v>
      </c>
      <c r="F53" s="427" t="s">
        <v>1806</v>
      </c>
    </row>
    <row r="54" spans="1:6" ht="22.5">
      <c r="A54" s="421">
        <v>23</v>
      </c>
      <c r="B54" s="432" t="s">
        <v>1877</v>
      </c>
      <c r="C54" s="433" t="s">
        <v>1820</v>
      </c>
      <c r="D54" s="433" t="s">
        <v>1805</v>
      </c>
      <c r="E54" s="434">
        <v>1000</v>
      </c>
      <c r="F54" s="427" t="s">
        <v>1806</v>
      </c>
    </row>
    <row r="55" spans="1:6" ht="22.5">
      <c r="A55" s="421">
        <v>25</v>
      </c>
      <c r="B55" s="432" t="s">
        <v>1878</v>
      </c>
      <c r="C55" s="433" t="s">
        <v>1820</v>
      </c>
      <c r="D55" s="433" t="s">
        <v>1805</v>
      </c>
      <c r="E55" s="434">
        <v>1200</v>
      </c>
      <c r="F55" s="427" t="s">
        <v>1806</v>
      </c>
    </row>
    <row r="56" spans="1:6" ht="22.5">
      <c r="A56" s="421">
        <v>26</v>
      </c>
      <c r="B56" s="432" t="s">
        <v>1879</v>
      </c>
      <c r="C56" s="433" t="s">
        <v>1820</v>
      </c>
      <c r="D56" s="433" t="s">
        <v>1805</v>
      </c>
      <c r="E56" s="434">
        <v>1500</v>
      </c>
      <c r="F56" s="427" t="s">
        <v>1806</v>
      </c>
    </row>
    <row r="57" spans="1:6" ht="22.5">
      <c r="A57" s="421">
        <v>27</v>
      </c>
      <c r="B57" s="432" t="s">
        <v>1880</v>
      </c>
      <c r="C57" s="433" t="s">
        <v>1820</v>
      </c>
      <c r="D57" s="433" t="s">
        <v>1805</v>
      </c>
      <c r="E57" s="434">
        <v>1800</v>
      </c>
      <c r="F57" s="427" t="s">
        <v>1806</v>
      </c>
    </row>
    <row r="58" spans="1:6" ht="22.5">
      <c r="A58" s="421">
        <v>28</v>
      </c>
      <c r="B58" s="432" t="s">
        <v>1881</v>
      </c>
      <c r="C58" s="433" t="s">
        <v>1820</v>
      </c>
      <c r="D58" s="433" t="s">
        <v>1805</v>
      </c>
      <c r="E58" s="434">
        <v>2000</v>
      </c>
      <c r="F58" s="427" t="s">
        <v>1806</v>
      </c>
    </row>
    <row r="59" spans="1:6" ht="22.5">
      <c r="A59" s="421">
        <v>29</v>
      </c>
      <c r="B59" s="432" t="s">
        <v>1882</v>
      </c>
      <c r="C59" s="433" t="s">
        <v>1883</v>
      </c>
      <c r="D59" s="433" t="s">
        <v>1884</v>
      </c>
      <c r="E59" s="426">
        <v>6000</v>
      </c>
      <c r="F59" s="439"/>
    </row>
    <row r="60" spans="1:6" ht="22.5">
      <c r="A60" s="421">
        <v>30</v>
      </c>
      <c r="B60" s="432" t="s">
        <v>1885</v>
      </c>
      <c r="C60" s="433" t="s">
        <v>1883</v>
      </c>
      <c r="D60" s="433" t="s">
        <v>1884</v>
      </c>
      <c r="E60" s="426">
        <v>3500</v>
      </c>
      <c r="F60" s="439"/>
    </row>
    <row r="61" spans="1:6">
      <c r="A61" s="421">
        <v>31</v>
      </c>
      <c r="B61" s="432" t="s">
        <v>1886</v>
      </c>
      <c r="C61" s="433" t="s">
        <v>1883</v>
      </c>
      <c r="D61" s="433" t="s">
        <v>1884</v>
      </c>
      <c r="E61" s="426">
        <v>2500</v>
      </c>
      <c r="F61" s="439"/>
    </row>
    <row r="62" spans="1:6">
      <c r="A62" s="421">
        <v>32</v>
      </c>
      <c r="B62" s="432" t="s">
        <v>1887</v>
      </c>
      <c r="C62" s="433" t="s">
        <v>1883</v>
      </c>
      <c r="D62" s="433" t="s">
        <v>1884</v>
      </c>
      <c r="E62" s="426">
        <v>2000</v>
      </c>
      <c r="F62" s="439"/>
    </row>
    <row r="63" spans="1:6" ht="70.150000000000006" customHeight="1">
      <c r="A63" s="705" t="s">
        <v>1888</v>
      </c>
      <c r="B63" s="705"/>
      <c r="C63" s="705"/>
      <c r="D63" s="705"/>
      <c r="E63" s="705"/>
      <c r="F63" s="705"/>
    </row>
    <row r="64" spans="1:6" ht="31.15" customHeight="1">
      <c r="A64" s="418"/>
      <c r="B64" s="419"/>
      <c r="C64" s="418"/>
      <c r="D64" s="418"/>
      <c r="E64" s="420"/>
      <c r="F64" s="418"/>
    </row>
    <row r="65" spans="1:6" ht="23.25" customHeight="1">
      <c r="A65" s="6"/>
      <c r="B65" s="6"/>
      <c r="C65" s="5"/>
      <c r="D65" s="6"/>
      <c r="E65" s="7"/>
      <c r="F65" s="6"/>
    </row>
    <row r="66" spans="1:6" ht="23.25" customHeight="1">
      <c r="A66" s="6"/>
      <c r="B66" s="6"/>
      <c r="C66" s="5"/>
      <c r="D66" s="6"/>
      <c r="E66" s="7"/>
      <c r="F66" s="6"/>
    </row>
    <row r="67" spans="1:6" ht="23.25" customHeight="1">
      <c r="A67" s="6"/>
      <c r="B67" s="6"/>
      <c r="C67" s="5"/>
      <c r="D67" s="6"/>
      <c r="E67" s="7"/>
      <c r="F67" s="6"/>
    </row>
  </sheetData>
  <sheetProtection password="C743" sheet="1" objects="1" scenarios="1"/>
  <mergeCells count="3">
    <mergeCell ref="A1:F1"/>
    <mergeCell ref="A2:F2"/>
    <mergeCell ref="A63:F63"/>
  </mergeCells>
  <phoneticPr fontId="112" type="noConversion"/>
  <printOptions horizontalCentered="1"/>
  <pageMargins left="0.19685039370078741" right="0.19685039370078741" top="0.98425196850393704" bottom="0.39370078740157483" header="0" footer="0.31496062992125984"/>
  <pageSetup paperSize="9" orientation="landscape"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9"/>
  <sheetViews>
    <sheetView view="pageBreakPreview" zoomScaleNormal="85" zoomScaleSheetLayoutView="100" workbookViewId="0">
      <pane xSplit="2" ySplit="2" topLeftCell="C3" activePane="bottomRight" state="frozen"/>
      <selection pane="topRight"/>
      <selection pane="bottomLeft"/>
      <selection pane="bottomRight" activeCell="G16" sqref="G16"/>
    </sheetView>
  </sheetViews>
  <sheetFormatPr defaultColWidth="9" defaultRowHeight="13.5" outlineLevelRow="1"/>
  <cols>
    <col min="1" max="1" width="9" hidden="1" customWidth="1"/>
    <col min="2" max="2" width="23.125" customWidth="1"/>
    <col min="3" max="3" width="20.875" customWidth="1"/>
    <col min="4" max="4" width="10.5" customWidth="1"/>
    <col min="5" max="7" width="13.125" customWidth="1"/>
    <col min="8" max="8" width="51.75" customWidth="1"/>
    <col min="13" max="13" width="40.5" customWidth="1"/>
    <col min="14" max="20" width="43.75" customWidth="1"/>
    <col min="21" max="21" width="2.875" customWidth="1"/>
    <col min="22" max="24" width="43.75" customWidth="1"/>
    <col min="32" max="32" width="43.75"/>
  </cols>
  <sheetData>
    <row r="1" spans="1:8" ht="29.25" customHeight="1">
      <c r="A1" s="706" t="s">
        <v>1889</v>
      </c>
      <c r="B1" s="706"/>
      <c r="C1" s="706"/>
      <c r="D1" s="706"/>
      <c r="E1" s="706"/>
      <c r="F1" s="707"/>
      <c r="G1" s="707"/>
      <c r="H1" s="707"/>
    </row>
    <row r="2" spans="1:8" ht="33" customHeight="1">
      <c r="A2" s="442" t="s">
        <v>9</v>
      </c>
      <c r="B2" s="443" t="s">
        <v>1890</v>
      </c>
      <c r="C2" s="443" t="s">
        <v>1891</v>
      </c>
      <c r="D2" s="443" t="s">
        <v>135</v>
      </c>
      <c r="E2" s="444" t="s">
        <v>1892</v>
      </c>
      <c r="F2" s="444" t="s">
        <v>1893</v>
      </c>
      <c r="G2" s="444" t="s">
        <v>1894</v>
      </c>
      <c r="H2" s="444" t="s">
        <v>11</v>
      </c>
    </row>
    <row r="3" spans="1:8" ht="17.45" customHeight="1">
      <c r="A3" s="445" t="s">
        <v>45</v>
      </c>
      <c r="B3" s="446" t="s">
        <v>1895</v>
      </c>
      <c r="C3" s="446"/>
      <c r="D3" s="446"/>
      <c r="E3" s="447"/>
      <c r="F3" s="447"/>
      <c r="G3" s="447"/>
      <c r="H3" s="447"/>
    </row>
    <row r="4" spans="1:8" ht="17.45" customHeight="1" outlineLevel="1">
      <c r="A4" s="448">
        <v>1</v>
      </c>
      <c r="B4" s="449" t="s">
        <v>1896</v>
      </c>
      <c r="C4" s="449" t="s">
        <v>1897</v>
      </c>
      <c r="D4" s="449" t="s">
        <v>238</v>
      </c>
      <c r="E4" s="450">
        <v>3550</v>
      </c>
      <c r="F4" s="451">
        <v>0.13</v>
      </c>
      <c r="G4" s="450">
        <f>一级钢综合*(1+F4)</f>
        <v>4011.4999999999995</v>
      </c>
      <c r="H4" s="452" t="s">
        <v>1898</v>
      </c>
    </row>
    <row r="5" spans="1:8" ht="17.45" customHeight="1" outlineLevel="1">
      <c r="A5" s="448">
        <v>2</v>
      </c>
      <c r="B5" s="449" t="s">
        <v>1896</v>
      </c>
      <c r="C5" s="449" t="s">
        <v>1899</v>
      </c>
      <c r="D5" s="449" t="s">
        <v>238</v>
      </c>
      <c r="E5" s="450">
        <v>3550</v>
      </c>
      <c r="F5" s="451">
        <v>0.13</v>
      </c>
      <c r="G5" s="450">
        <f>一级钢综合*(1+F5)</f>
        <v>4011.4999999999995</v>
      </c>
      <c r="H5" s="452" t="s">
        <v>1898</v>
      </c>
    </row>
    <row r="6" spans="1:8" ht="84.95" customHeight="1" outlineLevel="1">
      <c r="A6" s="448">
        <v>3</v>
      </c>
      <c r="B6" s="449" t="s">
        <v>1896</v>
      </c>
      <c r="C6" s="449" t="s">
        <v>1900</v>
      </c>
      <c r="D6" s="449" t="s">
        <v>238</v>
      </c>
      <c r="E6" s="450">
        <v>3550</v>
      </c>
      <c r="F6" s="451">
        <v>0.13</v>
      </c>
      <c r="G6" s="450">
        <f t="shared" ref="G6:G8" si="0">一级钢综合*(1+F6)</f>
        <v>4011.4999999999995</v>
      </c>
      <c r="H6" s="452" t="s">
        <v>1898</v>
      </c>
    </row>
    <row r="7" spans="1:8" ht="63.95" customHeight="1" outlineLevel="1">
      <c r="A7" s="448">
        <v>4</v>
      </c>
      <c r="B7" s="449" t="s">
        <v>1896</v>
      </c>
      <c r="C7" s="449" t="s">
        <v>1901</v>
      </c>
      <c r="D7" s="449" t="s">
        <v>238</v>
      </c>
      <c r="E7" s="450">
        <v>3550</v>
      </c>
      <c r="F7" s="451">
        <v>0.13</v>
      </c>
      <c r="G7" s="450">
        <f t="shared" si="0"/>
        <v>4011.4999999999995</v>
      </c>
      <c r="H7" s="452" t="s">
        <v>1898</v>
      </c>
    </row>
    <row r="8" spans="1:8" ht="17.45" customHeight="1" outlineLevel="1">
      <c r="A8" s="448">
        <v>5</v>
      </c>
      <c r="B8" s="449" t="s">
        <v>1896</v>
      </c>
      <c r="C8" s="449" t="s">
        <v>1902</v>
      </c>
      <c r="D8" s="449" t="s">
        <v>238</v>
      </c>
      <c r="E8" s="450">
        <v>3550</v>
      </c>
      <c r="F8" s="451">
        <v>0.13</v>
      </c>
      <c r="G8" s="450">
        <f t="shared" si="0"/>
        <v>4011.4999999999995</v>
      </c>
      <c r="H8" s="452" t="s">
        <v>1898</v>
      </c>
    </row>
    <row r="9" spans="1:8" ht="17.45" customHeight="1" outlineLevel="1">
      <c r="A9" s="448">
        <v>6</v>
      </c>
      <c r="B9" s="449" t="s">
        <v>1896</v>
      </c>
      <c r="C9" s="449" t="s">
        <v>1903</v>
      </c>
      <c r="D9" s="449" t="s">
        <v>238</v>
      </c>
      <c r="E9" s="450">
        <v>3550</v>
      </c>
      <c r="F9" s="451">
        <v>0.13</v>
      </c>
      <c r="G9" s="450">
        <f>一级钢综合*(1+F9)</f>
        <v>4011.4999999999995</v>
      </c>
      <c r="H9" s="452" t="s">
        <v>1898</v>
      </c>
    </row>
    <row r="10" spans="1:8" ht="17.45" customHeight="1">
      <c r="A10" s="445" t="s">
        <v>59</v>
      </c>
      <c r="B10" s="446" t="s">
        <v>1904</v>
      </c>
      <c r="C10" s="446"/>
      <c r="D10" s="446"/>
      <c r="E10" s="447"/>
      <c r="F10" s="447"/>
      <c r="G10" s="447"/>
      <c r="H10" s="447"/>
    </row>
    <row r="11" spans="1:8" ht="17.45" customHeight="1" outlineLevel="1">
      <c r="A11" s="448">
        <v>1</v>
      </c>
      <c r="B11" s="449" t="s">
        <v>1905</v>
      </c>
      <c r="C11" s="453" t="s">
        <v>1906</v>
      </c>
      <c r="D11" s="449" t="s">
        <v>2119</v>
      </c>
      <c r="E11" s="450">
        <f>G11/(1+F11)</f>
        <v>398.05825242718402</v>
      </c>
      <c r="F11" s="451">
        <v>0.03</v>
      </c>
      <c r="G11" s="450">
        <v>410</v>
      </c>
      <c r="H11" s="452" t="s">
        <v>1898</v>
      </c>
    </row>
    <row r="12" spans="1:8" ht="17.45" customHeight="1" outlineLevel="1">
      <c r="A12" s="448">
        <v>2</v>
      </c>
      <c r="B12" s="449" t="s">
        <v>1907</v>
      </c>
      <c r="C12" s="453" t="s">
        <v>1906</v>
      </c>
      <c r="D12" s="449" t="s">
        <v>2119</v>
      </c>
      <c r="E12" s="450">
        <f t="shared" ref="E12:E21" si="1">G12/(1+F12)</f>
        <v>398.05825242718402</v>
      </c>
      <c r="F12" s="451">
        <v>0.03</v>
      </c>
      <c r="G12" s="450">
        <v>410</v>
      </c>
      <c r="H12" s="452" t="s">
        <v>1898</v>
      </c>
    </row>
    <row r="13" spans="1:8" ht="17.45" customHeight="1" outlineLevel="1">
      <c r="A13" s="448">
        <v>3</v>
      </c>
      <c r="B13" s="449" t="s">
        <v>1908</v>
      </c>
      <c r="C13" s="453" t="s">
        <v>1906</v>
      </c>
      <c r="D13" s="449" t="s">
        <v>2119</v>
      </c>
      <c r="E13" s="450">
        <f t="shared" si="1"/>
        <v>407.766990291262</v>
      </c>
      <c r="F13" s="451">
        <v>0.03</v>
      </c>
      <c r="G13" s="450">
        <v>420</v>
      </c>
      <c r="H13" s="452" t="s">
        <v>1898</v>
      </c>
    </row>
    <row r="14" spans="1:8" ht="17.45" customHeight="1" outlineLevel="1">
      <c r="A14" s="448">
        <v>4</v>
      </c>
      <c r="B14" s="449" t="s">
        <v>1909</v>
      </c>
      <c r="C14" s="453" t="s">
        <v>1906</v>
      </c>
      <c r="D14" s="449" t="s">
        <v>2119</v>
      </c>
      <c r="E14" s="450">
        <f t="shared" si="1"/>
        <v>417.47572815533999</v>
      </c>
      <c r="F14" s="451">
        <v>0.03</v>
      </c>
      <c r="G14" s="450">
        <v>430</v>
      </c>
      <c r="H14" s="452" t="s">
        <v>1898</v>
      </c>
    </row>
    <row r="15" spans="1:8" ht="17.45" customHeight="1" outlineLevel="1">
      <c r="A15" s="448">
        <v>5</v>
      </c>
      <c r="B15" s="449" t="s">
        <v>1910</v>
      </c>
      <c r="C15" s="453" t="s">
        <v>1906</v>
      </c>
      <c r="D15" s="449" t="s">
        <v>2119</v>
      </c>
      <c r="E15" s="450">
        <f t="shared" si="1"/>
        <v>432.03883495145601</v>
      </c>
      <c r="F15" s="451">
        <v>0.03</v>
      </c>
      <c r="G15" s="450">
        <v>445</v>
      </c>
      <c r="H15" s="452" t="s">
        <v>1898</v>
      </c>
    </row>
    <row r="16" spans="1:8" ht="17.45" customHeight="1" outlineLevel="1">
      <c r="A16" s="448">
        <v>6</v>
      </c>
      <c r="B16" s="449" t="s">
        <v>1911</v>
      </c>
      <c r="C16" s="453" t="s">
        <v>1906</v>
      </c>
      <c r="D16" s="449" t="s">
        <v>2119</v>
      </c>
      <c r="E16" s="450">
        <f t="shared" si="1"/>
        <v>451.45631067961199</v>
      </c>
      <c r="F16" s="451">
        <v>0.03</v>
      </c>
      <c r="G16" s="450">
        <v>465</v>
      </c>
      <c r="H16" s="452" t="s">
        <v>1898</v>
      </c>
    </row>
    <row r="17" spans="1:9" ht="17.45" customHeight="1" outlineLevel="1">
      <c r="A17" s="448">
        <v>7</v>
      </c>
      <c r="B17" s="449" t="s">
        <v>1912</v>
      </c>
      <c r="C17" s="453" t="s">
        <v>1906</v>
      </c>
      <c r="D17" s="449" t="s">
        <v>2119</v>
      </c>
      <c r="E17" s="450">
        <f t="shared" si="1"/>
        <v>475.72815533980599</v>
      </c>
      <c r="F17" s="451">
        <v>0.03</v>
      </c>
      <c r="G17" s="450">
        <v>490</v>
      </c>
      <c r="H17" s="452" t="s">
        <v>1898</v>
      </c>
    </row>
    <row r="18" spans="1:9" ht="17.45" customHeight="1" outlineLevel="1">
      <c r="A18" s="448">
        <v>8</v>
      </c>
      <c r="B18" s="449" t="s">
        <v>1913</v>
      </c>
      <c r="C18" s="453" t="s">
        <v>1906</v>
      </c>
      <c r="D18" s="449" t="s">
        <v>2119</v>
      </c>
      <c r="E18" s="450">
        <f t="shared" si="1"/>
        <v>500</v>
      </c>
      <c r="F18" s="451">
        <v>0.03</v>
      </c>
      <c r="G18" s="450">
        <v>515</v>
      </c>
      <c r="H18" s="452" t="s">
        <v>1898</v>
      </c>
    </row>
    <row r="19" spans="1:9" ht="17.45" customHeight="1" outlineLevel="1">
      <c r="A19" s="448">
        <v>9</v>
      </c>
      <c r="B19" s="449" t="s">
        <v>1914</v>
      </c>
      <c r="C19" s="453" t="s">
        <v>1906</v>
      </c>
      <c r="D19" s="449" t="s">
        <v>2119</v>
      </c>
      <c r="E19" s="450">
        <f t="shared" si="1"/>
        <v>529.12621359223294</v>
      </c>
      <c r="F19" s="451">
        <v>0.03</v>
      </c>
      <c r="G19" s="450">
        <v>545</v>
      </c>
      <c r="H19" s="452" t="s">
        <v>1898</v>
      </c>
    </row>
    <row r="20" spans="1:9" ht="17.45" customHeight="1" outlineLevel="1">
      <c r="A20" s="448">
        <v>10</v>
      </c>
      <c r="B20" s="449" t="s">
        <v>1915</v>
      </c>
      <c r="C20" s="453" t="s">
        <v>1906</v>
      </c>
      <c r="D20" s="449" t="s">
        <v>2119</v>
      </c>
      <c r="E20" s="450">
        <f t="shared" si="1"/>
        <v>572.81553398058202</v>
      </c>
      <c r="F20" s="451">
        <v>0.03</v>
      </c>
      <c r="G20" s="450">
        <v>590</v>
      </c>
      <c r="H20" s="452" t="s">
        <v>1898</v>
      </c>
    </row>
    <row r="21" spans="1:9" ht="57.6" customHeight="1" outlineLevel="1">
      <c r="A21" s="454">
        <v>11</v>
      </c>
      <c r="B21" s="455" t="s">
        <v>1916</v>
      </c>
      <c r="C21" s="456" t="s">
        <v>1917</v>
      </c>
      <c r="D21" s="457" t="s">
        <v>162</v>
      </c>
      <c r="E21" s="450">
        <f t="shared" si="1"/>
        <v>805.82524271844704</v>
      </c>
      <c r="F21" s="451">
        <v>0.03</v>
      </c>
      <c r="G21" s="458">
        <v>830</v>
      </c>
      <c r="H21" s="452" t="s">
        <v>1898</v>
      </c>
      <c r="I21" s="3"/>
    </row>
    <row r="22" spans="1:9" ht="17.45" customHeight="1">
      <c r="A22" s="445" t="s">
        <v>61</v>
      </c>
      <c r="B22" s="446" t="s">
        <v>1918</v>
      </c>
      <c r="C22" s="446"/>
      <c r="D22" s="446"/>
      <c r="E22" s="447"/>
      <c r="F22" s="447"/>
      <c r="G22" s="447"/>
      <c r="H22" s="447"/>
    </row>
    <row r="23" spans="1:9" ht="17.45" customHeight="1" outlineLevel="1">
      <c r="A23" s="448">
        <v>1</v>
      </c>
      <c r="B23" s="449" t="s">
        <v>1919</v>
      </c>
      <c r="C23" s="453" t="s">
        <v>1920</v>
      </c>
      <c r="D23" s="449" t="s">
        <v>2119</v>
      </c>
      <c r="E23" s="450">
        <f>G23/(1+F23)</f>
        <v>174.757281553398</v>
      </c>
      <c r="F23" s="451">
        <v>0.03</v>
      </c>
      <c r="G23" s="459">
        <v>180</v>
      </c>
      <c r="H23" s="460" t="s">
        <v>1898</v>
      </c>
    </row>
    <row r="24" spans="1:9" ht="17.45" customHeight="1" outlineLevel="1">
      <c r="A24" s="448">
        <v>2</v>
      </c>
      <c r="B24" s="461" t="s">
        <v>1921</v>
      </c>
      <c r="C24" s="461" t="s">
        <v>1922</v>
      </c>
      <c r="D24" s="462" t="s">
        <v>215</v>
      </c>
      <c r="E24" s="450">
        <f>G24/(1+F24)</f>
        <v>213.59223300970899</v>
      </c>
      <c r="F24" s="451">
        <v>0.03</v>
      </c>
      <c r="G24" s="459">
        <v>220</v>
      </c>
      <c r="H24" s="460" t="s">
        <v>1898</v>
      </c>
    </row>
    <row r="25" spans="1:9" ht="17.45" customHeight="1" outlineLevel="1">
      <c r="A25" s="448">
        <v>3</v>
      </c>
      <c r="B25" s="461" t="s">
        <v>1921</v>
      </c>
      <c r="C25" s="461" t="s">
        <v>1923</v>
      </c>
      <c r="D25" s="462" t="s">
        <v>215</v>
      </c>
      <c r="E25" s="459">
        <f>255/1.03</f>
        <v>247.57281553398099</v>
      </c>
      <c r="F25" s="451">
        <v>0.03</v>
      </c>
      <c r="G25" s="459"/>
      <c r="H25" s="460" t="s">
        <v>1898</v>
      </c>
    </row>
    <row r="26" spans="1:9" ht="17.45" customHeight="1" outlineLevel="1">
      <c r="A26" s="448">
        <v>4</v>
      </c>
      <c r="B26" s="461" t="s">
        <v>1924</v>
      </c>
      <c r="C26" s="461" t="s">
        <v>1925</v>
      </c>
      <c r="D26" s="462" t="s">
        <v>215</v>
      </c>
      <c r="E26" s="450">
        <f>G26/(1+F26)</f>
        <v>281.55339805825201</v>
      </c>
      <c r="F26" s="451">
        <v>0.03</v>
      </c>
      <c r="G26" s="459">
        <v>290</v>
      </c>
      <c r="H26" s="460" t="s">
        <v>1898</v>
      </c>
    </row>
    <row r="27" spans="1:9" ht="17.45" customHeight="1" outlineLevel="1">
      <c r="A27" s="448">
        <v>6</v>
      </c>
      <c r="B27" s="449" t="s">
        <v>1926</v>
      </c>
      <c r="C27" s="453"/>
      <c r="D27" s="449" t="s">
        <v>2119</v>
      </c>
      <c r="E27" s="450">
        <f>G27/(1+F27)</f>
        <v>436.893203883495</v>
      </c>
      <c r="F27" s="451">
        <v>0.03</v>
      </c>
      <c r="G27" s="459">
        <v>450</v>
      </c>
      <c r="H27" s="460" t="s">
        <v>1898</v>
      </c>
    </row>
    <row r="28" spans="1:9" ht="17.45" customHeight="1" outlineLevel="1">
      <c r="A28" s="448">
        <v>7</v>
      </c>
      <c r="B28" s="449" t="s">
        <v>1927</v>
      </c>
      <c r="C28" s="453"/>
      <c r="D28" s="449" t="s">
        <v>2119</v>
      </c>
      <c r="E28" s="459"/>
      <c r="F28" s="459"/>
      <c r="G28" s="459"/>
      <c r="H28" s="460"/>
    </row>
    <row r="29" spans="1:9" ht="17.45" customHeight="1" outlineLevel="1">
      <c r="A29" s="448">
        <v>8</v>
      </c>
      <c r="B29" s="449" t="s">
        <v>1928</v>
      </c>
      <c r="C29" s="453" t="s">
        <v>1929</v>
      </c>
      <c r="D29" s="449" t="s">
        <v>1930</v>
      </c>
      <c r="E29" s="459">
        <f>0.48*1000/1.03</f>
        <v>466.01941747572801</v>
      </c>
      <c r="F29" s="459"/>
      <c r="G29" s="459"/>
      <c r="H29" s="460"/>
    </row>
    <row r="30" spans="1:9" ht="17.45" customHeight="1" outlineLevel="1">
      <c r="A30" s="448">
        <v>9</v>
      </c>
      <c r="B30" s="461" t="s">
        <v>1931</v>
      </c>
      <c r="C30" s="463" t="s">
        <v>1932</v>
      </c>
      <c r="D30" s="449" t="s">
        <v>1930</v>
      </c>
      <c r="E30" s="462">
        <f>0.36*1000/1.03</f>
        <v>349.514563106796</v>
      </c>
      <c r="F30" s="451">
        <v>0.03</v>
      </c>
      <c r="G30" s="462">
        <f>0.36*1000</f>
        <v>360</v>
      </c>
      <c r="H30" s="464">
        <v>0.36</v>
      </c>
    </row>
    <row r="31" spans="1:9" ht="17.45" customHeight="1" outlineLevel="1">
      <c r="A31" s="448">
        <v>10</v>
      </c>
      <c r="B31" s="449" t="s">
        <v>1933</v>
      </c>
      <c r="C31" s="453"/>
      <c r="D31" s="449" t="s">
        <v>2119</v>
      </c>
      <c r="E31" s="459"/>
      <c r="F31" s="459"/>
      <c r="G31" s="459"/>
      <c r="H31" s="460"/>
    </row>
    <row r="32" spans="1:9" ht="17.45" customHeight="1" outlineLevel="1">
      <c r="A32" s="448">
        <v>11</v>
      </c>
      <c r="B32" s="449" t="s">
        <v>1934</v>
      </c>
      <c r="C32" s="453" t="s">
        <v>1935</v>
      </c>
      <c r="D32" s="449" t="s">
        <v>2119</v>
      </c>
      <c r="E32" s="450">
        <f t="shared" ref="E32" si="2">G32/(1+F32)</f>
        <v>241.37931034482801</v>
      </c>
      <c r="F32" s="451">
        <v>0.16</v>
      </c>
      <c r="G32" s="459">
        <v>280</v>
      </c>
      <c r="H32" s="460"/>
    </row>
    <row r="33" spans="1:11" ht="17.45" customHeight="1" outlineLevel="1">
      <c r="A33" s="448">
        <v>12</v>
      </c>
      <c r="B33" s="449" t="s">
        <v>1936</v>
      </c>
      <c r="C33" s="453"/>
      <c r="D33" s="449" t="s">
        <v>2119</v>
      </c>
      <c r="E33" s="459">
        <f>440/1.03</f>
        <v>427.18446601941702</v>
      </c>
      <c r="F33" s="459"/>
      <c r="G33" s="459"/>
      <c r="H33" s="452"/>
    </row>
    <row r="34" spans="1:11" ht="17.45" customHeight="1" outlineLevel="1">
      <c r="A34" s="448">
        <v>13</v>
      </c>
      <c r="B34" s="449" t="s">
        <v>1937</v>
      </c>
      <c r="C34" s="453"/>
      <c r="D34" s="449" t="s">
        <v>2119</v>
      </c>
      <c r="E34" s="459"/>
      <c r="F34" s="459"/>
      <c r="G34" s="459"/>
      <c r="H34" s="452"/>
    </row>
    <row r="35" spans="1:11" ht="17.45" customHeight="1" outlineLevel="1">
      <c r="A35" s="448">
        <v>14</v>
      </c>
      <c r="B35" s="449" t="s">
        <v>1938</v>
      </c>
      <c r="C35" s="453"/>
      <c r="D35" s="449" t="s">
        <v>2119</v>
      </c>
      <c r="E35" s="459"/>
      <c r="F35" s="459"/>
      <c r="G35" s="459"/>
      <c r="H35" s="452"/>
    </row>
    <row r="36" spans="1:11" ht="17.45" customHeight="1" outlineLevel="1">
      <c r="A36" s="448">
        <v>15</v>
      </c>
      <c r="B36" s="449" t="s">
        <v>1939</v>
      </c>
      <c r="C36" s="453"/>
      <c r="D36" s="449" t="s">
        <v>2119</v>
      </c>
      <c r="E36" s="459"/>
      <c r="F36" s="459"/>
      <c r="G36" s="459"/>
      <c r="H36" s="452"/>
    </row>
    <row r="37" spans="1:11" ht="17.45" customHeight="1" outlineLevel="1">
      <c r="A37" s="448">
        <v>16</v>
      </c>
      <c r="B37" s="449" t="s">
        <v>1940</v>
      </c>
      <c r="C37" s="453"/>
      <c r="D37" s="449" t="s">
        <v>2119</v>
      </c>
      <c r="E37" s="459"/>
      <c r="F37" s="459"/>
      <c r="G37" s="459"/>
      <c r="H37" s="452"/>
    </row>
    <row r="38" spans="1:11" ht="17.45" customHeight="1" outlineLevel="1">
      <c r="A38" s="465">
        <v>17</v>
      </c>
      <c r="B38" s="466" t="s">
        <v>370</v>
      </c>
      <c r="C38" s="467" t="s">
        <v>1932</v>
      </c>
      <c r="D38" s="466" t="s">
        <v>1930</v>
      </c>
      <c r="E38" s="468">
        <f>1.5*1000/1.03</f>
        <v>1456.3106796116499</v>
      </c>
      <c r="F38" s="468"/>
      <c r="G38" s="468"/>
      <c r="H38" s="469" t="s">
        <v>1898</v>
      </c>
      <c r="J38" s="4"/>
      <c r="K38" s="4"/>
    </row>
    <row r="39" spans="1:11" ht="17.45" customHeight="1">
      <c r="A39" s="445" t="s">
        <v>74</v>
      </c>
      <c r="B39" s="446" t="s">
        <v>1941</v>
      </c>
      <c r="C39" s="446"/>
      <c r="D39" s="446"/>
      <c r="E39" s="447"/>
      <c r="F39" s="447"/>
      <c r="G39" s="447"/>
      <c r="H39" s="447"/>
      <c r="J39" s="4"/>
    </row>
    <row r="40" spans="1:11" ht="17.45" customHeight="1" outlineLevel="1">
      <c r="A40" s="448">
        <v>1</v>
      </c>
      <c r="B40" s="449" t="s">
        <v>1942</v>
      </c>
      <c r="C40" s="449" t="s">
        <v>1943</v>
      </c>
      <c r="D40" s="449" t="s">
        <v>2119</v>
      </c>
      <c r="E40" s="470">
        <v>427.18446601941702</v>
      </c>
      <c r="F40" s="470"/>
      <c r="G40" s="470"/>
      <c r="H40" s="460" t="s">
        <v>1898</v>
      </c>
    </row>
    <row r="41" spans="1:11" ht="17.45" customHeight="1" outlineLevel="1">
      <c r="A41" s="448">
        <v>2</v>
      </c>
      <c r="B41" s="449" t="s">
        <v>1942</v>
      </c>
      <c r="C41" s="449" t="s">
        <v>1944</v>
      </c>
      <c r="D41" s="449" t="s">
        <v>2119</v>
      </c>
      <c r="E41" s="470">
        <v>436.893203883495</v>
      </c>
      <c r="F41" s="470"/>
      <c r="G41" s="470"/>
      <c r="H41" s="460" t="s">
        <v>1898</v>
      </c>
    </row>
    <row r="42" spans="1:11" ht="17.45" customHeight="1" outlineLevel="1">
      <c r="A42" s="448">
        <v>3</v>
      </c>
      <c r="B42" s="449" t="s">
        <v>1942</v>
      </c>
      <c r="C42" s="449" t="s">
        <v>1945</v>
      </c>
      <c r="D42" s="449" t="s">
        <v>2119</v>
      </c>
      <c r="E42" s="470">
        <v>446.60194174757299</v>
      </c>
      <c r="F42" s="470"/>
      <c r="G42" s="470"/>
      <c r="H42" s="460" t="s">
        <v>1898</v>
      </c>
    </row>
    <row r="43" spans="1:11" ht="17.45" customHeight="1" outlineLevel="1">
      <c r="A43" s="448">
        <v>4</v>
      </c>
      <c r="B43" s="449" t="s">
        <v>1942</v>
      </c>
      <c r="C43" s="449" t="s">
        <v>1946</v>
      </c>
      <c r="D43" s="449" t="s">
        <v>2119</v>
      </c>
      <c r="E43" s="470">
        <v>456.31067961165002</v>
      </c>
      <c r="F43" s="470"/>
      <c r="G43" s="470"/>
      <c r="H43" s="460" t="s">
        <v>1898</v>
      </c>
    </row>
    <row r="44" spans="1:11" ht="17.45" customHeight="1" outlineLevel="1">
      <c r="A44" s="448">
        <v>5</v>
      </c>
      <c r="B44" s="449" t="s">
        <v>1942</v>
      </c>
      <c r="C44" s="449" t="s">
        <v>1947</v>
      </c>
      <c r="D44" s="449" t="s">
        <v>2119</v>
      </c>
      <c r="E44" s="470">
        <v>466.01941747572801</v>
      </c>
      <c r="F44" s="470"/>
      <c r="G44" s="470"/>
      <c r="H44" s="460" t="s">
        <v>1898</v>
      </c>
    </row>
    <row r="45" spans="1:11" ht="17.45" customHeight="1" outlineLevel="1">
      <c r="A45" s="448">
        <v>6</v>
      </c>
      <c r="B45" s="449" t="s">
        <v>1948</v>
      </c>
      <c r="C45" s="449" t="s">
        <v>1949</v>
      </c>
      <c r="D45" s="449" t="s">
        <v>2119</v>
      </c>
      <c r="E45" s="470">
        <v>436.893203883495</v>
      </c>
      <c r="F45" s="470"/>
      <c r="G45" s="470"/>
      <c r="H45" s="460" t="s">
        <v>1898</v>
      </c>
    </row>
    <row r="46" spans="1:11" ht="17.45" customHeight="1" outlineLevel="1">
      <c r="A46" s="448">
        <v>7</v>
      </c>
      <c r="B46" s="449" t="s">
        <v>1948</v>
      </c>
      <c r="C46" s="449" t="s">
        <v>1945</v>
      </c>
      <c r="D46" s="449" t="s">
        <v>2119</v>
      </c>
      <c r="E46" s="470">
        <v>446.60194174757299</v>
      </c>
      <c r="F46" s="470"/>
      <c r="G46" s="470"/>
      <c r="H46" s="460" t="s">
        <v>1898</v>
      </c>
    </row>
    <row r="47" spans="1:11" ht="17.45" customHeight="1" outlineLevel="1">
      <c r="A47" s="448">
        <v>8</v>
      </c>
      <c r="B47" s="449" t="s">
        <v>1948</v>
      </c>
      <c r="C47" s="449" t="s">
        <v>1946</v>
      </c>
      <c r="D47" s="449" t="s">
        <v>2119</v>
      </c>
      <c r="E47" s="470">
        <v>456.31067961165002</v>
      </c>
      <c r="F47" s="470"/>
      <c r="G47" s="470"/>
      <c r="H47" s="460" t="s">
        <v>1898</v>
      </c>
    </row>
    <row r="48" spans="1:11" ht="17.45" customHeight="1" outlineLevel="1">
      <c r="A48" s="448">
        <v>9</v>
      </c>
      <c r="B48" s="449" t="s">
        <v>1948</v>
      </c>
      <c r="C48" s="449" t="s">
        <v>1947</v>
      </c>
      <c r="D48" s="449" t="s">
        <v>2119</v>
      </c>
      <c r="E48" s="470">
        <v>466.01941747572801</v>
      </c>
      <c r="F48" s="470"/>
      <c r="G48" s="470"/>
      <c r="H48" s="460" t="s">
        <v>1898</v>
      </c>
    </row>
    <row r="49" spans="1:8" ht="17.45" customHeight="1" outlineLevel="1">
      <c r="A49" s="448">
        <v>10</v>
      </c>
      <c r="B49" s="449" t="s">
        <v>1950</v>
      </c>
      <c r="C49" s="449" t="s">
        <v>1946</v>
      </c>
      <c r="D49" s="449" t="s">
        <v>2119</v>
      </c>
      <c r="E49" s="470">
        <v>466.01941747572801</v>
      </c>
      <c r="F49" s="470"/>
      <c r="G49" s="470"/>
      <c r="H49" s="460" t="s">
        <v>1898</v>
      </c>
    </row>
    <row r="50" spans="1:8" ht="17.45" customHeight="1" outlineLevel="1">
      <c r="A50" s="448">
        <v>11</v>
      </c>
      <c r="B50" s="449" t="s">
        <v>1950</v>
      </c>
      <c r="C50" s="449" t="s">
        <v>1947</v>
      </c>
      <c r="D50" s="449" t="s">
        <v>2119</v>
      </c>
      <c r="E50" s="470">
        <v>475.72815533980599</v>
      </c>
      <c r="F50" s="470"/>
      <c r="G50" s="470"/>
      <c r="H50" s="460" t="s">
        <v>1898</v>
      </c>
    </row>
    <row r="51" spans="1:8" ht="17.45" customHeight="1" outlineLevel="1">
      <c r="A51" s="448">
        <v>12</v>
      </c>
      <c r="B51" s="449" t="s">
        <v>1951</v>
      </c>
      <c r="C51" s="449" t="s">
        <v>1943</v>
      </c>
      <c r="D51" s="449" t="s">
        <v>1952</v>
      </c>
      <c r="E51" s="470">
        <v>291.26213592233</v>
      </c>
      <c r="F51" s="470"/>
      <c r="G51" s="470"/>
      <c r="H51" s="460" t="s">
        <v>1898</v>
      </c>
    </row>
    <row r="52" spans="1:8" ht="17.45" customHeight="1" outlineLevel="1">
      <c r="A52" s="448">
        <v>13</v>
      </c>
      <c r="B52" s="449" t="s">
        <v>1951</v>
      </c>
      <c r="C52" s="449" t="s">
        <v>1944</v>
      </c>
      <c r="D52" s="449" t="s">
        <v>1952</v>
      </c>
      <c r="E52" s="470">
        <v>300.97087378640799</v>
      </c>
      <c r="F52" s="470"/>
      <c r="G52" s="470"/>
      <c r="H52" s="460" t="s">
        <v>1898</v>
      </c>
    </row>
    <row r="53" spans="1:8" ht="17.45" customHeight="1" outlineLevel="1">
      <c r="A53" s="448">
        <v>14</v>
      </c>
      <c r="B53" s="449" t="s">
        <v>1951</v>
      </c>
      <c r="C53" s="449" t="s">
        <v>1945</v>
      </c>
      <c r="D53" s="449" t="s">
        <v>1952</v>
      </c>
      <c r="E53" s="470">
        <v>310.67961165048501</v>
      </c>
      <c r="F53" s="470"/>
      <c r="G53" s="470"/>
      <c r="H53" s="460" t="s">
        <v>1898</v>
      </c>
    </row>
    <row r="54" spans="1:8" ht="17.45" customHeight="1" outlineLevel="1">
      <c r="A54" s="448">
        <v>15</v>
      </c>
      <c r="B54" s="449" t="s">
        <v>1951</v>
      </c>
      <c r="C54" s="449" t="s">
        <v>1946</v>
      </c>
      <c r="D54" s="449" t="s">
        <v>1952</v>
      </c>
      <c r="E54" s="470">
        <v>320.388349514563</v>
      </c>
      <c r="F54" s="470"/>
      <c r="G54" s="470"/>
      <c r="H54" s="460" t="s">
        <v>1898</v>
      </c>
    </row>
    <row r="55" spans="1:8" ht="17.45" customHeight="1" outlineLevel="1">
      <c r="A55" s="448">
        <v>16</v>
      </c>
      <c r="B55" s="449" t="s">
        <v>1951</v>
      </c>
      <c r="C55" s="449" t="s">
        <v>1947</v>
      </c>
      <c r="D55" s="449" t="s">
        <v>1952</v>
      </c>
      <c r="E55" s="470">
        <v>330.09708737864099</v>
      </c>
      <c r="F55" s="470"/>
      <c r="G55" s="470"/>
      <c r="H55" s="460" t="s">
        <v>1898</v>
      </c>
    </row>
    <row r="56" spans="1:8" ht="17.45" customHeight="1" outlineLevel="1">
      <c r="A56" s="448">
        <v>17</v>
      </c>
      <c r="B56" s="449" t="s">
        <v>1953</v>
      </c>
      <c r="C56" s="449" t="s">
        <v>1949</v>
      </c>
      <c r="D56" s="449" t="s">
        <v>1952</v>
      </c>
      <c r="E56" s="470">
        <v>315.53398058252401</v>
      </c>
      <c r="F56" s="470"/>
      <c r="G56" s="470"/>
      <c r="H56" s="460" t="s">
        <v>1898</v>
      </c>
    </row>
    <row r="57" spans="1:8" ht="17.45" customHeight="1" outlineLevel="1">
      <c r="A57" s="448">
        <v>18</v>
      </c>
      <c r="B57" s="449" t="s">
        <v>1953</v>
      </c>
      <c r="C57" s="449" t="s">
        <v>1945</v>
      </c>
      <c r="D57" s="449" t="s">
        <v>1952</v>
      </c>
      <c r="E57" s="470">
        <v>334.95145631067999</v>
      </c>
      <c r="F57" s="470"/>
      <c r="G57" s="470"/>
      <c r="H57" s="460" t="s">
        <v>1898</v>
      </c>
    </row>
    <row r="58" spans="1:8" ht="17.45" customHeight="1" outlineLevel="1">
      <c r="A58" s="448">
        <v>19</v>
      </c>
      <c r="B58" s="449" t="s">
        <v>1953</v>
      </c>
      <c r="C58" s="449" t="s">
        <v>1946</v>
      </c>
      <c r="D58" s="449" t="s">
        <v>1952</v>
      </c>
      <c r="E58" s="470">
        <v>344.66019417475701</v>
      </c>
      <c r="F58" s="470"/>
      <c r="G58" s="470"/>
      <c r="H58" s="460" t="s">
        <v>1898</v>
      </c>
    </row>
    <row r="59" spans="1:8" ht="17.45" customHeight="1" outlineLevel="1">
      <c r="A59" s="448">
        <v>20</v>
      </c>
      <c r="B59" s="449" t="s">
        <v>1953</v>
      </c>
      <c r="C59" s="449" t="s">
        <v>1947</v>
      </c>
      <c r="D59" s="449" t="s">
        <v>1952</v>
      </c>
      <c r="E59" s="470">
        <v>354.368932038835</v>
      </c>
      <c r="F59" s="470"/>
      <c r="G59" s="470"/>
      <c r="H59" s="460" t="s">
        <v>1898</v>
      </c>
    </row>
    <row r="60" spans="1:8" ht="17.45" customHeight="1" outlineLevel="1">
      <c r="A60" s="448">
        <v>21</v>
      </c>
      <c r="B60" s="449" t="s">
        <v>1954</v>
      </c>
      <c r="C60" s="449" t="s">
        <v>1946</v>
      </c>
      <c r="D60" s="449" t="s">
        <v>1952</v>
      </c>
      <c r="E60" s="470">
        <v>325.242718446602</v>
      </c>
      <c r="F60" s="470"/>
      <c r="G60" s="470"/>
      <c r="H60" s="460" t="s">
        <v>1898</v>
      </c>
    </row>
    <row r="61" spans="1:8" ht="17.45" customHeight="1" outlineLevel="1">
      <c r="A61" s="448">
        <v>22</v>
      </c>
      <c r="B61" s="449" t="s">
        <v>1954</v>
      </c>
      <c r="C61" s="449" t="s">
        <v>1947</v>
      </c>
      <c r="D61" s="449" t="s">
        <v>1952</v>
      </c>
      <c r="E61" s="470">
        <v>334.95145631067999</v>
      </c>
      <c r="F61" s="470"/>
      <c r="G61" s="470"/>
      <c r="H61" s="460" t="s">
        <v>1898</v>
      </c>
    </row>
    <row r="62" spans="1:8" ht="19.5" customHeight="1">
      <c r="A62" s="445" t="s">
        <v>76</v>
      </c>
      <c r="B62" s="446" t="s">
        <v>1955</v>
      </c>
      <c r="C62" s="446"/>
      <c r="D62" s="446"/>
      <c r="E62" s="447"/>
      <c r="F62" s="447"/>
      <c r="G62" s="447"/>
      <c r="H62" s="447"/>
    </row>
    <row r="63" spans="1:8" ht="17.45" customHeight="1">
      <c r="A63" s="448">
        <v>1</v>
      </c>
      <c r="B63" s="461" t="s">
        <v>1956</v>
      </c>
      <c r="C63" s="463" t="s">
        <v>1957</v>
      </c>
      <c r="D63" s="471" t="s">
        <v>1958</v>
      </c>
      <c r="E63" s="472">
        <v>363</v>
      </c>
      <c r="F63" s="451">
        <v>0.13</v>
      </c>
      <c r="G63" s="470">
        <f>E63*(1+F63)</f>
        <v>410.19</v>
      </c>
      <c r="H63" s="460" t="s">
        <v>1959</v>
      </c>
    </row>
    <row r="64" spans="1:8" ht="17.45" customHeight="1">
      <c r="A64" s="448">
        <v>2</v>
      </c>
      <c r="B64" s="473" t="s">
        <v>1960</v>
      </c>
      <c r="C64" s="474" t="s">
        <v>1961</v>
      </c>
      <c r="D64" s="471" t="s">
        <v>238</v>
      </c>
      <c r="E64" s="472">
        <f>180/1.03</f>
        <v>174.757281553398</v>
      </c>
      <c r="F64" s="451">
        <v>0.03</v>
      </c>
      <c r="G64" s="470">
        <f>E64*(1+F64)</f>
        <v>180</v>
      </c>
      <c r="H64" s="460" t="s">
        <v>1959</v>
      </c>
    </row>
    <row r="65" spans="1:8" ht="17.45" customHeight="1">
      <c r="A65" s="448">
        <v>3</v>
      </c>
      <c r="B65" s="456" t="s">
        <v>1962</v>
      </c>
      <c r="C65" s="456" t="s">
        <v>1963</v>
      </c>
      <c r="D65" s="471" t="s">
        <v>238</v>
      </c>
      <c r="E65" s="470">
        <v>59</v>
      </c>
      <c r="F65" s="451">
        <v>0.03</v>
      </c>
      <c r="G65" s="470">
        <f>E65*(1+F65)</f>
        <v>60.77</v>
      </c>
      <c r="H65" s="460" t="s">
        <v>1959</v>
      </c>
    </row>
    <row r="66" spans="1:8" ht="17.45" customHeight="1">
      <c r="A66" s="448">
        <v>8</v>
      </c>
      <c r="B66" s="455"/>
      <c r="C66" s="456"/>
      <c r="D66" s="471"/>
      <c r="E66" s="470"/>
      <c r="F66" s="470"/>
      <c r="G66" s="470"/>
      <c r="H66" s="460"/>
    </row>
    <row r="67" spans="1:8" ht="17.45" customHeight="1">
      <c r="A67" s="448">
        <v>9</v>
      </c>
      <c r="B67" s="455"/>
      <c r="C67" s="456"/>
      <c r="D67" s="475"/>
      <c r="E67" s="472"/>
      <c r="F67" s="472"/>
      <c r="G67" s="472"/>
      <c r="H67" s="476"/>
    </row>
    <row r="68" spans="1:8" ht="17.45" customHeight="1">
      <c r="A68" s="448">
        <v>10</v>
      </c>
      <c r="B68" s="455"/>
      <c r="C68" s="456"/>
      <c r="D68" s="475"/>
      <c r="E68" s="472"/>
      <c r="F68" s="472"/>
      <c r="G68" s="472"/>
      <c r="H68" s="476"/>
    </row>
    <row r="69" spans="1:8" ht="38.25" customHeight="1">
      <c r="A69" s="708"/>
      <c r="B69" s="708"/>
      <c r="C69" s="708"/>
      <c r="D69" s="708"/>
      <c r="E69" s="708"/>
      <c r="F69" s="708"/>
      <c r="G69" s="708"/>
      <c r="H69" s="708"/>
    </row>
  </sheetData>
  <sheetProtection password="C743" sheet="1" objects="1" scenarios="1"/>
  <mergeCells count="2">
    <mergeCell ref="A1:H1"/>
    <mergeCell ref="A69:H69"/>
  </mergeCells>
  <phoneticPr fontId="112" type="noConversion"/>
  <printOptions horizontalCentered="1"/>
  <pageMargins left="0.19685039370078741" right="0.19685039370078741" top="0.98425196850393704" bottom="0.39370078740157483" header="0.51181102362204722" footer="0.51181102362204722"/>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8"/>
  <sheetViews>
    <sheetView view="pageBreakPreview" zoomScaleNormal="100" zoomScaleSheetLayoutView="100" workbookViewId="0">
      <selection activeCell="B8" sqref="B8"/>
    </sheetView>
  </sheetViews>
  <sheetFormatPr defaultColWidth="9" defaultRowHeight="13.5"/>
  <cols>
    <col min="1" max="1" width="6.625" customWidth="1"/>
    <col min="2" max="2" width="52.625" customWidth="1"/>
    <col min="3" max="3" width="21.875" customWidth="1"/>
  </cols>
  <sheetData>
    <row r="1" spans="1:3" ht="22.5">
      <c r="A1" s="570" t="s">
        <v>7</v>
      </c>
      <c r="B1" s="570"/>
      <c r="C1" s="570"/>
    </row>
    <row r="2" spans="1:3" ht="22.5">
      <c r="A2" s="69" t="s">
        <v>8</v>
      </c>
      <c r="B2" s="70"/>
      <c r="C2" s="71"/>
    </row>
    <row r="3" spans="1:3" ht="16.5">
      <c r="A3" s="72" t="s">
        <v>9</v>
      </c>
      <c r="B3" s="73" t="s">
        <v>10</v>
      </c>
      <c r="C3" s="74" t="s">
        <v>11</v>
      </c>
    </row>
    <row r="4" spans="1:3" ht="87.6" customHeight="1">
      <c r="A4" s="75">
        <v>1</v>
      </c>
      <c r="B4" s="76" t="s">
        <v>2136</v>
      </c>
      <c r="C4" s="77"/>
    </row>
    <row r="5" spans="1:3" ht="69.599999999999994" customHeight="1">
      <c r="A5" s="75">
        <v>2</v>
      </c>
      <c r="B5" s="76" t="s">
        <v>2140</v>
      </c>
      <c r="C5" s="77"/>
    </row>
    <row r="6" spans="1:3" ht="45.75" customHeight="1">
      <c r="A6" s="75">
        <v>3</v>
      </c>
      <c r="B6" s="76" t="s">
        <v>2137</v>
      </c>
      <c r="C6" s="77"/>
    </row>
    <row r="7" spans="1:3" ht="42.75" customHeight="1">
      <c r="A7" s="75">
        <v>4</v>
      </c>
      <c r="B7" s="76" t="s">
        <v>12</v>
      </c>
      <c r="C7" s="77"/>
    </row>
    <row r="8" spans="1:3" ht="45" customHeight="1">
      <c r="A8" s="78">
        <v>5</v>
      </c>
      <c r="B8" s="79" t="s">
        <v>13</v>
      </c>
      <c r="C8" s="80"/>
    </row>
  </sheetData>
  <sheetProtection password="C743" sheet="1" objects="1" scenarios="1"/>
  <mergeCells count="1">
    <mergeCell ref="A1:C1"/>
  </mergeCells>
  <phoneticPr fontId="112" type="noConversion"/>
  <printOptions horizontalCentered="1"/>
  <pageMargins left="0.70866141732283472" right="0.70866141732283472" top="1.3779527559055118"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
  <sheetViews>
    <sheetView view="pageBreakPreview" zoomScaleNormal="100" zoomScaleSheetLayoutView="100" workbookViewId="0">
      <selection activeCell="I10" sqref="I10"/>
    </sheetView>
  </sheetViews>
  <sheetFormatPr defaultColWidth="9" defaultRowHeight="24.95" customHeight="1"/>
  <cols>
    <col min="1" max="1" width="6.375" customWidth="1"/>
    <col min="2" max="2" width="6.25" customWidth="1"/>
    <col min="3" max="3" width="6.125" customWidth="1"/>
    <col min="4" max="4" width="3.125" customWidth="1"/>
    <col min="5" max="5" width="8.125" customWidth="1"/>
    <col min="6" max="6" width="11.375" customWidth="1"/>
    <col min="7" max="7" width="13.625" customWidth="1"/>
    <col min="8" max="8" width="18.875" customWidth="1"/>
    <col min="9" max="9" width="12.375" customWidth="1"/>
    <col min="10" max="10" width="12.75" customWidth="1"/>
    <col min="11" max="11" width="19.125" customWidth="1"/>
    <col min="12" max="12" width="18.875" customWidth="1"/>
  </cols>
  <sheetData>
    <row r="1" spans="1:12" ht="24.75">
      <c r="A1" s="576" t="s">
        <v>14</v>
      </c>
      <c r="B1" s="577"/>
      <c r="C1" s="577"/>
      <c r="D1" s="577"/>
      <c r="E1" s="577"/>
      <c r="F1" s="577"/>
      <c r="G1" s="578"/>
      <c r="H1" s="578"/>
      <c r="I1" s="578"/>
      <c r="J1" s="578"/>
      <c r="K1" s="578"/>
      <c r="L1" s="579"/>
    </row>
    <row r="2" spans="1:12" ht="22.15" customHeight="1">
      <c r="A2" s="581" t="s">
        <v>2059</v>
      </c>
      <c r="B2" s="581"/>
      <c r="C2" s="581"/>
      <c r="D2" s="581"/>
      <c r="E2" s="581"/>
      <c r="F2" s="581"/>
      <c r="G2" s="581"/>
      <c r="H2" s="581"/>
      <c r="I2" s="581"/>
      <c r="J2" s="581"/>
      <c r="K2" s="581"/>
      <c r="L2" s="581"/>
    </row>
    <row r="3" spans="1:12" ht="24.75">
      <c r="A3" s="574" t="s">
        <v>9</v>
      </c>
      <c r="B3" s="574" t="s">
        <v>16</v>
      </c>
      <c r="C3" s="574"/>
      <c r="D3" s="574"/>
      <c r="E3" s="574" t="s">
        <v>17</v>
      </c>
      <c r="F3" s="574" t="s">
        <v>18</v>
      </c>
      <c r="G3" s="580" t="s">
        <v>19</v>
      </c>
      <c r="H3" s="580"/>
      <c r="I3" s="580" t="s">
        <v>20</v>
      </c>
      <c r="J3" s="580"/>
      <c r="K3" s="580"/>
      <c r="L3" s="81"/>
    </row>
    <row r="4" spans="1:12" ht="66">
      <c r="A4" s="574"/>
      <c r="B4" s="574"/>
      <c r="C4" s="574"/>
      <c r="D4" s="574"/>
      <c r="E4" s="574"/>
      <c r="F4" s="574"/>
      <c r="G4" s="82" t="s">
        <v>21</v>
      </c>
      <c r="H4" s="82" t="s">
        <v>22</v>
      </c>
      <c r="I4" s="83" t="s">
        <v>2124</v>
      </c>
      <c r="J4" s="82" t="s">
        <v>23</v>
      </c>
      <c r="K4" s="82" t="s">
        <v>24</v>
      </c>
      <c r="L4" s="84" t="s">
        <v>11</v>
      </c>
    </row>
    <row r="5" spans="1:12" ht="35.25" customHeight="1">
      <c r="A5" s="85">
        <v>1</v>
      </c>
      <c r="B5" s="574" t="s">
        <v>25</v>
      </c>
      <c r="C5" s="574"/>
      <c r="D5" s="574"/>
      <c r="E5" s="85" t="s">
        <v>26</v>
      </c>
      <c r="F5" s="85">
        <v>101610.82</v>
      </c>
      <c r="G5" s="531">
        <f>H5/F5</f>
        <v>1407.5889358573972</v>
      </c>
      <c r="H5" s="531">
        <f>高层汇总表!E6</f>
        <v>143026265.99539754</v>
      </c>
      <c r="I5" s="86">
        <f>(J5-G5)/G5</f>
        <v>0</v>
      </c>
      <c r="J5" s="531">
        <f>K5/F5</f>
        <v>1407.5889358573972</v>
      </c>
      <c r="K5" s="531">
        <f>高层汇总表!H6</f>
        <v>143026265.99539754</v>
      </c>
      <c r="L5" s="87"/>
    </row>
    <row r="6" spans="1:12" ht="38.25" customHeight="1">
      <c r="A6" s="85">
        <v>2</v>
      </c>
      <c r="B6" s="574" t="s">
        <v>27</v>
      </c>
      <c r="C6" s="574"/>
      <c r="D6" s="574"/>
      <c r="E6" s="85" t="s">
        <v>28</v>
      </c>
      <c r="F6" s="85">
        <v>13571.94</v>
      </c>
      <c r="G6" s="531">
        <f>H6/F6</f>
        <v>2559.7970015382707</v>
      </c>
      <c r="H6" s="531">
        <f>车库汇总表!E6+车库汇总表!E7+车库汇总表!E8</f>
        <v>34741411.317057319</v>
      </c>
      <c r="I6" s="86">
        <f>(J6-G6)/G6</f>
        <v>0</v>
      </c>
      <c r="J6" s="531">
        <f>K6/F6</f>
        <v>2559.7970015382707</v>
      </c>
      <c r="K6" s="531">
        <f>车库汇总表!H6+车库汇总表!H7+车库汇总表!H8</f>
        <v>34741411.317057319</v>
      </c>
      <c r="L6" s="87"/>
    </row>
    <row r="7" spans="1:12" ht="38.25" customHeight="1">
      <c r="A7" s="85" t="s">
        <v>2129</v>
      </c>
      <c r="B7" s="574" t="s">
        <v>2123</v>
      </c>
      <c r="C7" s="574"/>
      <c r="D7" s="574"/>
      <c r="E7" s="85"/>
      <c r="F7" s="85">
        <f>F11</f>
        <v>115182.76</v>
      </c>
      <c r="G7" s="531">
        <f>H7/F7</f>
        <v>1543.3531659812186</v>
      </c>
      <c r="H7" s="531">
        <f>H5+H6</f>
        <v>177767677.31245485</v>
      </c>
      <c r="I7" s="86">
        <f>(J7-G7)/G7</f>
        <v>0</v>
      </c>
      <c r="J7" s="531">
        <f>K7/F7</f>
        <v>1543.3531659812186</v>
      </c>
      <c r="K7" s="531">
        <f>K5+K6</f>
        <v>177767677.31245485</v>
      </c>
      <c r="L7" s="87"/>
    </row>
    <row r="8" spans="1:12" ht="46.15" customHeight="1">
      <c r="A8" s="85">
        <v>3</v>
      </c>
      <c r="B8" s="574" t="s">
        <v>29</v>
      </c>
      <c r="C8" s="574"/>
      <c r="D8" s="574"/>
      <c r="E8" s="85" t="s">
        <v>30</v>
      </c>
      <c r="F8" s="85">
        <f>F11</f>
        <v>115182.76</v>
      </c>
      <c r="G8" s="531">
        <f>J8</f>
        <v>0</v>
      </c>
      <c r="H8" s="531">
        <f>K8</f>
        <v>0</v>
      </c>
      <c r="I8" s="531" t="s">
        <v>2056</v>
      </c>
      <c r="J8" s="531">
        <f>措施费!R24</f>
        <v>0</v>
      </c>
      <c r="K8" s="531">
        <f>措施费!Q24</f>
        <v>0</v>
      </c>
      <c r="L8" s="87" t="s">
        <v>32</v>
      </c>
    </row>
    <row r="9" spans="1:12" ht="42" customHeight="1">
      <c r="A9" s="85">
        <v>4</v>
      </c>
      <c r="B9" s="574" t="s">
        <v>33</v>
      </c>
      <c r="C9" s="574"/>
      <c r="D9" s="574"/>
      <c r="E9" s="85" t="s">
        <v>34</v>
      </c>
      <c r="F9" s="85">
        <f>F11</f>
        <v>115182.76</v>
      </c>
      <c r="G9" s="531">
        <f>J9</f>
        <v>0</v>
      </c>
      <c r="H9" s="531">
        <f>K9</f>
        <v>0</v>
      </c>
      <c r="I9" s="531" t="s">
        <v>31</v>
      </c>
      <c r="J9" s="531">
        <f>K9/F9</f>
        <v>0</v>
      </c>
      <c r="K9" s="531">
        <f>投标单位补充清单!H9</f>
        <v>0</v>
      </c>
      <c r="L9" s="87" t="s">
        <v>2126</v>
      </c>
    </row>
    <row r="10" spans="1:12" ht="42" customHeight="1">
      <c r="A10" s="85" t="s">
        <v>2130</v>
      </c>
      <c r="B10" s="574" t="s">
        <v>2125</v>
      </c>
      <c r="C10" s="574"/>
      <c r="D10" s="574"/>
      <c r="E10" s="85"/>
      <c r="F10" s="85">
        <f>F11</f>
        <v>115182.76</v>
      </c>
      <c r="G10" s="531">
        <f>H10/F10</f>
        <v>0</v>
      </c>
      <c r="H10" s="531">
        <f>H8+H9</f>
        <v>0</v>
      </c>
      <c r="I10" s="531" t="s">
        <v>31</v>
      </c>
      <c r="J10" s="531">
        <f>K10/F10</f>
        <v>0</v>
      </c>
      <c r="K10" s="531">
        <f>K8+K9</f>
        <v>0</v>
      </c>
      <c r="L10" s="87"/>
    </row>
    <row r="11" spans="1:12" ht="37.5" customHeight="1">
      <c r="A11" s="85" t="s">
        <v>2131</v>
      </c>
      <c r="B11" s="575" t="s">
        <v>2132</v>
      </c>
      <c r="C11" s="575"/>
      <c r="D11" s="575"/>
      <c r="E11" s="88"/>
      <c r="F11" s="88">
        <f>SUM(F5:F6)</f>
        <v>115182.76</v>
      </c>
      <c r="G11" s="531">
        <f>H11/F11</f>
        <v>1543.3531659812186</v>
      </c>
      <c r="H11" s="531">
        <f>H7+H10</f>
        <v>177767677.31245485</v>
      </c>
      <c r="I11" s="86">
        <f>(J11-G11)/G11</f>
        <v>0</v>
      </c>
      <c r="J11" s="531">
        <f>K11/F11</f>
        <v>1543.3531659812186</v>
      </c>
      <c r="K11" s="531">
        <f>K7+K10</f>
        <v>177767677.31245485</v>
      </c>
      <c r="L11" s="88"/>
    </row>
    <row r="12" spans="1:12" ht="39.75" customHeight="1">
      <c r="A12" s="552" t="s">
        <v>2134</v>
      </c>
      <c r="B12" s="571" t="s">
        <v>2135</v>
      </c>
      <c r="C12" s="572"/>
      <c r="D12" s="572"/>
      <c r="E12" s="572"/>
      <c r="F12" s="572"/>
      <c r="G12" s="572"/>
      <c r="H12" s="573"/>
      <c r="I12" s="553"/>
      <c r="J12" s="199"/>
      <c r="K12" s="199"/>
      <c r="L12" s="199"/>
    </row>
  </sheetData>
  <sheetProtection password="C743" sheet="1" objects="1" scenarios="1"/>
  <mergeCells count="16">
    <mergeCell ref="A1:L1"/>
    <mergeCell ref="G3:H3"/>
    <mergeCell ref="I3:K3"/>
    <mergeCell ref="B5:D5"/>
    <mergeCell ref="B6:D6"/>
    <mergeCell ref="F3:F4"/>
    <mergeCell ref="A2:L2"/>
    <mergeCell ref="B12:H12"/>
    <mergeCell ref="B8:D8"/>
    <mergeCell ref="B9:D9"/>
    <mergeCell ref="B11:D11"/>
    <mergeCell ref="A3:A4"/>
    <mergeCell ref="E3:E4"/>
    <mergeCell ref="B3:D4"/>
    <mergeCell ref="B7:D7"/>
    <mergeCell ref="B10:D10"/>
  </mergeCells>
  <phoneticPr fontId="112" type="noConversion"/>
  <pageMargins left="0.51181102362204722" right="0.5118110236220472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8"/>
  <sheetViews>
    <sheetView view="pageBreakPreview" zoomScaleNormal="100" zoomScaleSheetLayoutView="100" workbookViewId="0">
      <selection activeCell="C6" sqref="C6"/>
    </sheetView>
  </sheetViews>
  <sheetFormatPr defaultColWidth="9" defaultRowHeight="13.5"/>
  <cols>
    <col min="1" max="1" width="6.125" customWidth="1"/>
    <col min="2" max="2" width="25.25" customWidth="1"/>
    <col min="3" max="3" width="16.375" customWidth="1"/>
    <col min="4" max="4" width="12.625" customWidth="1"/>
    <col min="5" max="5" width="19.5" customWidth="1"/>
    <col min="6" max="6" width="9.75" customWidth="1"/>
    <col min="7" max="7" width="13.75" customWidth="1"/>
    <col min="8" max="8" width="18.375" customWidth="1"/>
    <col min="9" max="9" width="15.875" customWidth="1"/>
  </cols>
  <sheetData>
    <row r="1" spans="1:9" ht="27" customHeight="1">
      <c r="A1" s="582" t="s">
        <v>36</v>
      </c>
      <c r="B1" s="583"/>
      <c r="C1" s="583"/>
      <c r="D1" s="583"/>
      <c r="E1" s="583"/>
      <c r="F1" s="583"/>
      <c r="G1" s="583"/>
      <c r="H1" s="583"/>
      <c r="I1" s="584"/>
    </row>
    <row r="2" spans="1:9" ht="16.5">
      <c r="A2" s="586" t="s">
        <v>15</v>
      </c>
      <c r="B2" s="587"/>
      <c r="C2" s="587"/>
      <c r="D2" s="587"/>
      <c r="E2" s="587"/>
      <c r="F2" s="587"/>
      <c r="G2" s="587"/>
      <c r="H2" s="587"/>
      <c r="I2" s="588"/>
    </row>
    <row r="3" spans="1:9" ht="13.5" customHeight="1">
      <c r="A3" s="585" t="s">
        <v>9</v>
      </c>
      <c r="B3" s="585" t="s">
        <v>37</v>
      </c>
      <c r="C3" s="585" t="s">
        <v>38</v>
      </c>
      <c r="D3" s="585" t="s">
        <v>19</v>
      </c>
      <c r="E3" s="585"/>
      <c r="F3" s="585" t="s">
        <v>39</v>
      </c>
      <c r="G3" s="585"/>
      <c r="H3" s="585"/>
      <c r="I3" s="45" t="s">
        <v>11</v>
      </c>
    </row>
    <row r="4" spans="1:9" ht="33" customHeight="1">
      <c r="A4" s="585"/>
      <c r="B4" s="585"/>
      <c r="C4" s="585"/>
      <c r="D4" s="585" t="s">
        <v>40</v>
      </c>
      <c r="E4" s="585" t="s">
        <v>41</v>
      </c>
      <c r="F4" s="585" t="s">
        <v>25</v>
      </c>
      <c r="G4" s="585"/>
      <c r="H4" s="585"/>
      <c r="I4" s="45"/>
    </row>
    <row r="5" spans="1:9" ht="49.5">
      <c r="A5" s="585"/>
      <c r="B5" s="585"/>
      <c r="C5" s="45" t="s">
        <v>42</v>
      </c>
      <c r="D5" s="585"/>
      <c r="E5" s="585"/>
      <c r="F5" s="46" t="s">
        <v>2124</v>
      </c>
      <c r="G5" s="45" t="s">
        <v>43</v>
      </c>
      <c r="H5" s="45" t="s">
        <v>44</v>
      </c>
      <c r="I5" s="45"/>
    </row>
    <row r="6" spans="1:9" ht="16.5">
      <c r="A6" s="47" t="s">
        <v>45</v>
      </c>
      <c r="B6" s="48" t="s">
        <v>46</v>
      </c>
      <c r="C6" s="47">
        <f>投标报价汇总表!F5</f>
        <v>101610.82</v>
      </c>
      <c r="D6" s="47">
        <f t="shared" ref="D6:D17" si="0">E6/C6</f>
        <v>1407.5889358573972</v>
      </c>
      <c r="E6" s="47">
        <f>E7+E15</f>
        <v>143026265.99539754</v>
      </c>
      <c r="F6" s="49">
        <f>IF(E6=0,0,(H6-E6)/E6)</f>
        <v>0</v>
      </c>
      <c r="G6" s="47">
        <f t="shared" ref="G6:G17" si="1">H6/C6</f>
        <v>1407.5889358573972</v>
      </c>
      <c r="H6" s="47">
        <f>+H7+H15</f>
        <v>143026265.99539754</v>
      </c>
      <c r="I6" s="47"/>
    </row>
    <row r="7" spans="1:9" ht="16.5">
      <c r="A7" s="50" t="s">
        <v>47</v>
      </c>
      <c r="B7" s="51" t="s">
        <v>48</v>
      </c>
      <c r="C7" s="50">
        <f>C$6</f>
        <v>101610.82</v>
      </c>
      <c r="D7" s="50">
        <f t="shared" si="0"/>
        <v>1339.2344899249067</v>
      </c>
      <c r="E7" s="50">
        <f>SUM(E8:E14)</f>
        <v>136080714.69355151</v>
      </c>
      <c r="F7" s="49">
        <f>IF(E7=0,0,(H7-E7)/E7)</f>
        <v>0</v>
      </c>
      <c r="G7" s="50">
        <f t="shared" si="1"/>
        <v>1339.2344899249067</v>
      </c>
      <c r="H7" s="50">
        <f>SUM(H8:H14)</f>
        <v>136080714.69355151</v>
      </c>
      <c r="I7" s="50"/>
    </row>
    <row r="8" spans="1:9" ht="33">
      <c r="A8" s="52">
        <v>1.1000000000000001</v>
      </c>
      <c r="B8" s="51" t="s">
        <v>49</v>
      </c>
      <c r="C8" s="50">
        <f>C$6</f>
        <v>101610.82</v>
      </c>
      <c r="D8" s="50">
        <f t="shared" si="0"/>
        <v>0</v>
      </c>
      <c r="E8" s="50">
        <f>0</f>
        <v>0</v>
      </c>
      <c r="F8" s="49">
        <f>IF(E8=0,0,(H8-E8)/E8)</f>
        <v>0</v>
      </c>
      <c r="G8" s="50">
        <f t="shared" si="1"/>
        <v>0</v>
      </c>
      <c r="H8" s="50">
        <f>0</f>
        <v>0</v>
      </c>
      <c r="I8" s="50" t="s">
        <v>50</v>
      </c>
    </row>
    <row r="9" spans="1:9" ht="16.5">
      <c r="A9" s="52">
        <v>1.2</v>
      </c>
      <c r="B9" s="51" t="s">
        <v>51</v>
      </c>
      <c r="C9" s="50">
        <f>C$6</f>
        <v>101610.82</v>
      </c>
      <c r="D9" s="50">
        <f t="shared" si="0"/>
        <v>754.52864853509755</v>
      </c>
      <c r="E9" s="50">
        <f>'基准高层土建清单 '!H72</f>
        <v>76668274.691143066</v>
      </c>
      <c r="F9" s="49">
        <f t="shared" ref="F9:F17" si="2">IF(E9=0,0,(H9-E9)/E9)</f>
        <v>0</v>
      </c>
      <c r="G9" s="50">
        <f t="shared" si="1"/>
        <v>754.52864853509755</v>
      </c>
      <c r="H9" s="50">
        <f>'基准高层土建清单 '!I72</f>
        <v>76668274.691143066</v>
      </c>
      <c r="I9" s="50"/>
    </row>
    <row r="10" spans="1:9" ht="16.5">
      <c r="A10" s="52">
        <v>1.3</v>
      </c>
      <c r="B10" s="51" t="s">
        <v>52</v>
      </c>
      <c r="C10" s="50">
        <f t="shared" ref="C10:C17" si="3">C$6</f>
        <v>101610.82</v>
      </c>
      <c r="D10" s="50">
        <f t="shared" si="0"/>
        <v>204.42569166807485</v>
      </c>
      <c r="E10" s="50">
        <f>'基准高层土建清单 '!H34+SUM('基准高层土建清单 '!H263:H291)+SUM('基准高层土建清单 '!H321:H327)</f>
        <v>20771862.159460254</v>
      </c>
      <c r="F10" s="49">
        <f t="shared" si="2"/>
        <v>0</v>
      </c>
      <c r="G10" s="50">
        <f t="shared" si="1"/>
        <v>204.42569166807485</v>
      </c>
      <c r="H10" s="50">
        <f>'基准高层土建清单 '!I34+SUM('基准高层土建清单 '!I263:I291)+SUM('基准高层土建清单 '!I321:I327)</f>
        <v>20771862.159460254</v>
      </c>
      <c r="I10" s="50"/>
    </row>
    <row r="11" spans="1:9" ht="16.5">
      <c r="A11" s="52">
        <v>1.4</v>
      </c>
      <c r="B11" s="51" t="s">
        <v>53</v>
      </c>
      <c r="C11" s="50">
        <f t="shared" si="3"/>
        <v>101610.82</v>
      </c>
      <c r="D11" s="50">
        <f t="shared" si="0"/>
        <v>156.04536115322279</v>
      </c>
      <c r="E11" s="50">
        <f>'基准高层土建清单 '!H261</f>
        <v>15855897.103975113</v>
      </c>
      <c r="F11" s="49">
        <f t="shared" si="2"/>
        <v>0</v>
      </c>
      <c r="G11" s="50">
        <f t="shared" si="1"/>
        <v>156.04536115322279</v>
      </c>
      <c r="H11" s="50">
        <f>'基准高层土建清单 '!I261</f>
        <v>15855897.103975113</v>
      </c>
      <c r="I11" s="50"/>
    </row>
    <row r="12" spans="1:9" ht="16.5">
      <c r="A12" s="52">
        <v>1.5</v>
      </c>
      <c r="B12" s="51" t="s">
        <v>54</v>
      </c>
      <c r="C12" s="50">
        <f t="shared" si="3"/>
        <v>101610.82</v>
      </c>
      <c r="D12" s="50">
        <f t="shared" si="0"/>
        <v>20.864279606425765</v>
      </c>
      <c r="E12" s="50">
        <f>'基准高层土建清单 '!H143</f>
        <v>2120036.5595181994</v>
      </c>
      <c r="F12" s="49">
        <f t="shared" si="2"/>
        <v>0</v>
      </c>
      <c r="G12" s="50">
        <f t="shared" si="1"/>
        <v>20.864279606425765</v>
      </c>
      <c r="H12" s="50">
        <f>'基准高层土建清单 '!I143</f>
        <v>2120036.5595181994</v>
      </c>
      <c r="I12" s="50"/>
    </row>
    <row r="13" spans="1:9" ht="33">
      <c r="A13" s="52">
        <v>1.6</v>
      </c>
      <c r="B13" s="51" t="s">
        <v>55</v>
      </c>
      <c r="C13" s="50">
        <f t="shared" si="3"/>
        <v>101610.82</v>
      </c>
      <c r="D13" s="50">
        <f t="shared" si="0"/>
        <v>185.18486512991163</v>
      </c>
      <c r="E13" s="50">
        <f>SUM('基准高层土建清单 '!H292:H320)+SUM('基准高层土建清单 '!H328:H335)+'基准高层土建清单 '!H376</f>
        <v>18816785.997439727</v>
      </c>
      <c r="F13" s="49">
        <f t="shared" si="2"/>
        <v>0</v>
      </c>
      <c r="G13" s="50">
        <f t="shared" si="1"/>
        <v>185.18486512991163</v>
      </c>
      <c r="H13" s="50">
        <f>SUM('基准高层土建清单 '!I292:I320)+SUM('基准高层土建清单 '!I328:I335)+'基准高层土建清单 '!I376</f>
        <v>18816785.997439727</v>
      </c>
      <c r="I13" s="50"/>
    </row>
    <row r="14" spans="1:9" ht="33">
      <c r="A14" s="52">
        <v>1.7</v>
      </c>
      <c r="B14" s="51" t="s">
        <v>56</v>
      </c>
      <c r="C14" s="50">
        <f t="shared" si="3"/>
        <v>101610.82</v>
      </c>
      <c r="D14" s="50">
        <f t="shared" si="0"/>
        <v>18.185643832174154</v>
      </c>
      <c r="E14" s="50">
        <f>'基准高层土建清单 '!H346+'基准高层土建清单 '!H383+'基准高层土建清单 '!H407</f>
        <v>1847858.1820151585</v>
      </c>
      <c r="F14" s="49">
        <f t="shared" si="2"/>
        <v>0</v>
      </c>
      <c r="G14" s="50">
        <f t="shared" si="1"/>
        <v>18.185643832174154</v>
      </c>
      <c r="H14" s="50">
        <f>'基准高层土建清单 '!I346+'基准高层土建清单 '!I383+'基准高层土建清单 '!I407</f>
        <v>1847858.1820151585</v>
      </c>
      <c r="I14" s="50"/>
    </row>
    <row r="15" spans="1:9" ht="16.5">
      <c r="A15" s="50" t="s">
        <v>57</v>
      </c>
      <c r="B15" s="51" t="s">
        <v>58</v>
      </c>
      <c r="C15" s="50">
        <f t="shared" si="3"/>
        <v>101610.82</v>
      </c>
      <c r="D15" s="50">
        <f t="shared" si="0"/>
        <v>68.354445932490393</v>
      </c>
      <c r="E15" s="50">
        <f>基准水电安装清单!J407</f>
        <v>6945551.3018460143</v>
      </c>
      <c r="F15" s="49">
        <f t="shared" si="2"/>
        <v>0</v>
      </c>
      <c r="G15" s="50">
        <f t="shared" si="1"/>
        <v>68.354445932490393</v>
      </c>
      <c r="H15" s="50">
        <f>基准水电安装清单!K407</f>
        <v>6945551.3018460143</v>
      </c>
      <c r="I15" s="50"/>
    </row>
    <row r="16" spans="1:9" ht="33" customHeight="1">
      <c r="A16" s="47" t="s">
        <v>59</v>
      </c>
      <c r="B16" s="48" t="s">
        <v>29</v>
      </c>
      <c r="C16" s="47">
        <f t="shared" si="3"/>
        <v>101610.82</v>
      </c>
      <c r="D16" s="47">
        <f>E16/C16</f>
        <v>0</v>
      </c>
      <c r="E16" s="47">
        <f>H16</f>
        <v>0</v>
      </c>
      <c r="F16" s="53" t="s">
        <v>31</v>
      </c>
      <c r="G16" s="47">
        <f>H16/C16</f>
        <v>0</v>
      </c>
      <c r="H16" s="47">
        <f>措施费!L24</f>
        <v>0</v>
      </c>
      <c r="I16" s="50" t="s">
        <v>60</v>
      </c>
    </row>
    <row r="17" spans="1:9" ht="19.5" customHeight="1">
      <c r="A17" s="47" t="s">
        <v>61</v>
      </c>
      <c r="B17" s="48" t="s">
        <v>62</v>
      </c>
      <c r="C17" s="47">
        <f t="shared" si="3"/>
        <v>101610.82</v>
      </c>
      <c r="D17" s="47">
        <f t="shared" si="0"/>
        <v>1407.5889358573972</v>
      </c>
      <c r="E17" s="47">
        <f>E6+E16</f>
        <v>143026265.99539754</v>
      </c>
      <c r="F17" s="49">
        <f t="shared" si="2"/>
        <v>0</v>
      </c>
      <c r="G17" s="50">
        <f t="shared" si="1"/>
        <v>1407.5889358573972</v>
      </c>
      <c r="H17" s="47">
        <f>H6+H16</f>
        <v>143026265.99539754</v>
      </c>
      <c r="I17" s="51"/>
    </row>
    <row r="18" spans="1:9" ht="33">
      <c r="A18" s="54"/>
      <c r="B18" s="51" t="s">
        <v>63</v>
      </c>
      <c r="C18" s="54"/>
      <c r="D18" s="54"/>
      <c r="E18" s="50">
        <f>E17/1.09*0.09</f>
        <v>11809508.201454842</v>
      </c>
      <c r="F18" s="54"/>
      <c r="G18" s="54"/>
      <c r="H18" s="50">
        <f>H17/1.09*0.09</f>
        <v>11809508.201454842</v>
      </c>
      <c r="I18" s="54"/>
    </row>
  </sheetData>
  <sheetProtection password="C743" sheet="1" objects="1" scenarios="1"/>
  <mergeCells count="10">
    <mergeCell ref="A1:I1"/>
    <mergeCell ref="D3:E3"/>
    <mergeCell ref="F3:H3"/>
    <mergeCell ref="F4:H4"/>
    <mergeCell ref="A3:A5"/>
    <mergeCell ref="B3:B5"/>
    <mergeCell ref="C3:C4"/>
    <mergeCell ref="D4:D5"/>
    <mergeCell ref="E4:E5"/>
    <mergeCell ref="A2:I2"/>
  </mergeCells>
  <phoneticPr fontId="112" type="noConversion"/>
  <printOptions horizontalCentered="1"/>
  <pageMargins left="0.19685039370078741" right="0.19685039370078741" top="0.98425196850393704" bottom="0.39370078740157483" header="0"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0"/>
  <sheetViews>
    <sheetView view="pageBreakPreview" zoomScaleNormal="100" zoomScaleSheetLayoutView="100" workbookViewId="0">
      <selection activeCell="J17" sqref="J17"/>
    </sheetView>
  </sheetViews>
  <sheetFormatPr defaultColWidth="9" defaultRowHeight="13.5"/>
  <cols>
    <col min="1" max="1" width="6.125" customWidth="1"/>
    <col min="2" max="2" width="25.25" customWidth="1"/>
    <col min="3" max="3" width="12.25" customWidth="1"/>
    <col min="4" max="4" width="12.625" customWidth="1"/>
    <col min="5" max="5" width="18.5" customWidth="1"/>
    <col min="6" max="6" width="9.75" customWidth="1"/>
    <col min="7" max="7" width="13.75" customWidth="1"/>
    <col min="8" max="8" width="17.75" customWidth="1"/>
    <col min="9" max="9" width="19.75" customWidth="1"/>
  </cols>
  <sheetData>
    <row r="1" spans="1:9" ht="24.75">
      <c r="A1" s="582" t="s">
        <v>64</v>
      </c>
      <c r="B1" s="583"/>
      <c r="C1" s="583"/>
      <c r="D1" s="583"/>
      <c r="E1" s="583"/>
      <c r="F1" s="583"/>
      <c r="G1" s="583"/>
      <c r="H1" s="583"/>
      <c r="I1" s="584"/>
    </row>
    <row r="2" spans="1:9" ht="22.15" customHeight="1">
      <c r="A2" s="589" t="s">
        <v>15</v>
      </c>
      <c r="B2" s="589"/>
      <c r="C2" s="589"/>
      <c r="D2" s="589"/>
      <c r="E2" s="589"/>
      <c r="F2" s="589"/>
      <c r="G2" s="589"/>
      <c r="H2" s="589"/>
      <c r="I2" s="589"/>
    </row>
    <row r="3" spans="1:9" ht="28.9" customHeight="1">
      <c r="A3" s="585" t="s">
        <v>9</v>
      </c>
      <c r="B3" s="585" t="s">
        <v>37</v>
      </c>
      <c r="C3" s="585" t="s">
        <v>38</v>
      </c>
      <c r="D3" s="585" t="s">
        <v>19</v>
      </c>
      <c r="E3" s="585"/>
      <c r="F3" s="585" t="s">
        <v>39</v>
      </c>
      <c r="G3" s="585"/>
      <c r="H3" s="585"/>
      <c r="I3" s="45" t="s">
        <v>11</v>
      </c>
    </row>
    <row r="4" spans="1:9" ht="24.75" customHeight="1">
      <c r="A4" s="585"/>
      <c r="B4" s="585"/>
      <c r="C4" s="585"/>
      <c r="D4" s="585" t="s">
        <v>40</v>
      </c>
      <c r="E4" s="585" t="s">
        <v>41</v>
      </c>
      <c r="F4" s="585" t="s">
        <v>27</v>
      </c>
      <c r="G4" s="585"/>
      <c r="H4" s="585"/>
      <c r="I4" s="45"/>
    </row>
    <row r="5" spans="1:9" ht="49.5">
      <c r="A5" s="585"/>
      <c r="B5" s="585"/>
      <c r="C5" s="45" t="s">
        <v>27</v>
      </c>
      <c r="D5" s="585"/>
      <c r="E5" s="585"/>
      <c r="F5" s="89" t="s">
        <v>2124</v>
      </c>
      <c r="G5" s="45" t="s">
        <v>43</v>
      </c>
      <c r="H5" s="45" t="s">
        <v>44</v>
      </c>
      <c r="I5" s="45"/>
    </row>
    <row r="6" spans="1:9" ht="35.25" customHeight="1">
      <c r="A6" s="45" t="s">
        <v>45</v>
      </c>
      <c r="B6" s="45" t="s">
        <v>65</v>
      </c>
      <c r="C6" s="45">
        <f>C8</f>
        <v>13571.94</v>
      </c>
      <c r="D6" s="45">
        <f t="shared" ref="D6:D17" si="0">E6/C6</f>
        <v>219.53493752551219</v>
      </c>
      <c r="E6" s="45">
        <f>基准土石方清单!H14</f>
        <v>2979515</v>
      </c>
      <c r="F6" s="86">
        <f>IF(E6=0,0,(H6-E6)/E6)</f>
        <v>0</v>
      </c>
      <c r="G6" s="45">
        <f t="shared" ref="G6:G19" si="1">H6/C6</f>
        <v>219.53493752551219</v>
      </c>
      <c r="H6" s="45">
        <f>基准土石方清单!I14</f>
        <v>2979515</v>
      </c>
      <c r="I6" s="45" t="s">
        <v>66</v>
      </c>
    </row>
    <row r="7" spans="1:9" ht="35.25" customHeight="1">
      <c r="A7" s="45" t="s">
        <v>59</v>
      </c>
      <c r="B7" s="45" t="s">
        <v>67</v>
      </c>
      <c r="C7" s="45">
        <f>C8</f>
        <v>13571.94</v>
      </c>
      <c r="D7" s="45">
        <f t="shared" si="0"/>
        <v>346.73728241767583</v>
      </c>
      <c r="E7" s="45">
        <f>基准桩基清单!I26</f>
        <v>4705897.5927357515</v>
      </c>
      <c r="F7" s="86">
        <f>IF(E7=0,0,(H7-E7)/E7)</f>
        <v>0</v>
      </c>
      <c r="G7" s="45">
        <f>H7/C7</f>
        <v>346.73728241767583</v>
      </c>
      <c r="H7" s="45">
        <f>基准桩基清单!J26</f>
        <v>4705897.5927357515</v>
      </c>
      <c r="I7" s="45" t="s">
        <v>68</v>
      </c>
    </row>
    <row r="8" spans="1:9" ht="22.15" customHeight="1">
      <c r="A8" s="47" t="s">
        <v>61</v>
      </c>
      <c r="B8" s="48" t="s">
        <v>46</v>
      </c>
      <c r="C8" s="47">
        <f>投标报价汇总表!F6</f>
        <v>13571.94</v>
      </c>
      <c r="D8" s="47">
        <f t="shared" si="0"/>
        <v>1993.5247815950829</v>
      </c>
      <c r="E8" s="47">
        <f>E9+E17</f>
        <v>27055998.72432157</v>
      </c>
      <c r="F8" s="86">
        <f>IF(E8=0,0,(H8-E8)/E8)</f>
        <v>0</v>
      </c>
      <c r="G8" s="45">
        <f t="shared" si="1"/>
        <v>1993.5247815950829</v>
      </c>
      <c r="H8" s="47">
        <f>H9+H17</f>
        <v>27055998.72432157</v>
      </c>
      <c r="I8" s="47"/>
    </row>
    <row r="9" spans="1:9" ht="24" customHeight="1">
      <c r="A9" s="50" t="s">
        <v>47</v>
      </c>
      <c r="B9" s="51" t="s">
        <v>48</v>
      </c>
      <c r="C9" s="50">
        <f>+C8</f>
        <v>13571.94</v>
      </c>
      <c r="D9" s="50">
        <f t="shared" si="0"/>
        <v>1942.0719644766555</v>
      </c>
      <c r="E9" s="50">
        <f>SUM(E10:E16)</f>
        <v>26357684.177559301</v>
      </c>
      <c r="F9" s="93">
        <f>IF(E9=0,0,(H9-E9)/E9)</f>
        <v>0</v>
      </c>
      <c r="G9" s="90">
        <f t="shared" si="1"/>
        <v>1942.0719644766555</v>
      </c>
      <c r="H9" s="50">
        <f>SUM(H10:H16)</f>
        <v>26357684.177559301</v>
      </c>
      <c r="I9" s="50"/>
    </row>
    <row r="10" spans="1:9" ht="33">
      <c r="A10" s="52">
        <v>1.1000000000000001</v>
      </c>
      <c r="B10" s="51" t="s">
        <v>49</v>
      </c>
      <c r="C10" s="50">
        <f>+C8</f>
        <v>13571.94</v>
      </c>
      <c r="D10" s="50">
        <f t="shared" si="0"/>
        <v>209.76217548921278</v>
      </c>
      <c r="E10" s="50">
        <f>基准地下室土建清单!H9+基准地下室土建清单!H18</f>
        <v>2846879.6600090666</v>
      </c>
      <c r="F10" s="93">
        <f>IF(E10=0,0,(H10-E10)/E10)</f>
        <v>0</v>
      </c>
      <c r="G10" s="90">
        <f t="shared" si="1"/>
        <v>209.76217548921278</v>
      </c>
      <c r="H10" s="50">
        <f>基准地下室土建清单!I9+基准地下室土建清单!I18</f>
        <v>2846879.6600090666</v>
      </c>
      <c r="I10" s="50" t="s">
        <v>69</v>
      </c>
    </row>
    <row r="11" spans="1:9" ht="16.5">
      <c r="A11" s="52">
        <v>1.2</v>
      </c>
      <c r="B11" s="51" t="s">
        <v>51</v>
      </c>
      <c r="C11" s="50">
        <f t="shared" ref="C11:C17" si="2">+C9</f>
        <v>13571.94</v>
      </c>
      <c r="D11" s="50">
        <f t="shared" si="0"/>
        <v>1356.0028116436886</v>
      </c>
      <c r="E11" s="50">
        <f>基准地下室土建清单!H131</f>
        <v>18403588.799459442</v>
      </c>
      <c r="F11" s="93">
        <f t="shared" ref="F11:F19" si="3">IF(E11=0,0,(H11-E11)/E11)</f>
        <v>0</v>
      </c>
      <c r="G11" s="90">
        <f t="shared" ref="G11:G16" si="4">H11/C11</f>
        <v>1356.0028116436886</v>
      </c>
      <c r="H11" s="50">
        <f>基准地下室土建清单!I131</f>
        <v>18403588.799459442</v>
      </c>
      <c r="I11" s="50"/>
    </row>
    <row r="12" spans="1:9" ht="16.5">
      <c r="A12" s="52">
        <v>1.3</v>
      </c>
      <c r="B12" s="51" t="s">
        <v>52</v>
      </c>
      <c r="C12" s="50">
        <f t="shared" si="2"/>
        <v>13571.94</v>
      </c>
      <c r="D12" s="50">
        <f t="shared" si="0"/>
        <v>46.339777167104863</v>
      </c>
      <c r="E12" s="50">
        <f>基准地下室土建清单!H101+SUM(基准地下室土建清单!H251:H280)</f>
        <v>628920.67532531719</v>
      </c>
      <c r="F12" s="93">
        <f t="shared" si="3"/>
        <v>0</v>
      </c>
      <c r="G12" s="90">
        <f t="shared" si="4"/>
        <v>46.339777167104863</v>
      </c>
      <c r="H12" s="50">
        <f>基准地下室土建清单!I101+SUM(基准地下室土建清单!I251:I280)</f>
        <v>628920.67532531719</v>
      </c>
      <c r="I12" s="50"/>
    </row>
    <row r="13" spans="1:9" ht="16.5">
      <c r="A13" s="52">
        <v>1.4</v>
      </c>
      <c r="B13" s="51" t="s">
        <v>53</v>
      </c>
      <c r="C13" s="50">
        <f t="shared" si="2"/>
        <v>13571.94</v>
      </c>
      <c r="D13" s="50">
        <f t="shared" si="0"/>
        <v>256.32083014653375</v>
      </c>
      <c r="E13" s="50">
        <f>基准地下室土建清单!H249+基准地下室土建清单!H224</f>
        <v>3478770.9274989474</v>
      </c>
      <c r="F13" s="93">
        <f t="shared" si="3"/>
        <v>0</v>
      </c>
      <c r="G13" s="90">
        <f t="shared" si="4"/>
        <v>256.32083014653375</v>
      </c>
      <c r="H13" s="50">
        <f>基准地下室土建清单!I249+基准地下室土建清单!I224</f>
        <v>3478770.9274989474</v>
      </c>
      <c r="I13" s="50"/>
    </row>
    <row r="14" spans="1:9" ht="33">
      <c r="A14" s="52">
        <v>1.5</v>
      </c>
      <c r="B14" s="51" t="s">
        <v>54</v>
      </c>
      <c r="C14" s="50">
        <f t="shared" si="2"/>
        <v>13571.94</v>
      </c>
      <c r="D14" s="50">
        <f t="shared" si="0"/>
        <v>0</v>
      </c>
      <c r="E14" s="50">
        <f>0</f>
        <v>0</v>
      </c>
      <c r="F14" s="93">
        <f t="shared" si="3"/>
        <v>0</v>
      </c>
      <c r="G14" s="90">
        <f t="shared" si="4"/>
        <v>0</v>
      </c>
      <c r="H14" s="50">
        <f>0</f>
        <v>0</v>
      </c>
      <c r="I14" s="50" t="s">
        <v>70</v>
      </c>
    </row>
    <row r="15" spans="1:9" ht="33">
      <c r="A15" s="52">
        <v>1.6</v>
      </c>
      <c r="B15" s="51" t="s">
        <v>71</v>
      </c>
      <c r="C15" s="50">
        <f t="shared" si="2"/>
        <v>13571.94</v>
      </c>
      <c r="D15" s="50">
        <f t="shared" si="0"/>
        <v>0</v>
      </c>
      <c r="E15" s="50">
        <f>0</f>
        <v>0</v>
      </c>
      <c r="F15" s="93">
        <f t="shared" si="3"/>
        <v>0</v>
      </c>
      <c r="G15" s="90">
        <f t="shared" si="4"/>
        <v>0</v>
      </c>
      <c r="H15" s="50">
        <f>0</f>
        <v>0</v>
      </c>
      <c r="I15" s="50" t="s">
        <v>72</v>
      </c>
    </row>
    <row r="16" spans="1:9" ht="16.5">
      <c r="A16" s="52">
        <v>1.7</v>
      </c>
      <c r="B16" s="51" t="s">
        <v>73</v>
      </c>
      <c r="C16" s="50">
        <f t="shared" si="2"/>
        <v>13571.94</v>
      </c>
      <c r="D16" s="50">
        <f t="shared" si="0"/>
        <v>73.646370030115804</v>
      </c>
      <c r="E16" s="50">
        <f>基准地下室土建清单!H75+SUM(基准地下室土建清单!H281:H284)+基准地下室土建清单!H294+基准地下室土建清单!H303+基准地下室土建清单!H330</f>
        <v>999524.11526652984</v>
      </c>
      <c r="F16" s="93">
        <f t="shared" si="3"/>
        <v>0</v>
      </c>
      <c r="G16" s="90">
        <f t="shared" si="4"/>
        <v>73.646370030115804</v>
      </c>
      <c r="H16" s="50">
        <f>基准地下室土建清单!I75+SUM(基准地下室土建清单!I281:I284)+基准地下室土建清单!I294+基准地下室土建清单!I303+基准地下室土建清单!I330</f>
        <v>999524.11526652984</v>
      </c>
      <c r="I16" s="50"/>
    </row>
    <row r="17" spans="1:9" ht="20.25" customHeight="1">
      <c r="A17" s="50" t="s">
        <v>57</v>
      </c>
      <c r="B17" s="51" t="s">
        <v>58</v>
      </c>
      <c r="C17" s="50">
        <f t="shared" si="2"/>
        <v>13571.94</v>
      </c>
      <c r="D17" s="50">
        <f t="shared" si="0"/>
        <v>51.452817118427397</v>
      </c>
      <c r="E17" s="50">
        <f>基准水电安装清单!L407</f>
        <v>698314.54676226957</v>
      </c>
      <c r="F17" s="93">
        <f t="shared" si="3"/>
        <v>0</v>
      </c>
      <c r="G17" s="90">
        <f t="shared" si="1"/>
        <v>51.452817118427397</v>
      </c>
      <c r="H17" s="50">
        <f>基准水电安装清单!M407</f>
        <v>698314.54676226957</v>
      </c>
      <c r="I17" s="50"/>
    </row>
    <row r="18" spans="1:9" ht="18.75" customHeight="1">
      <c r="A18" s="47" t="s">
        <v>74</v>
      </c>
      <c r="B18" s="48" t="s">
        <v>75</v>
      </c>
      <c r="C18" s="47">
        <f>+C17</f>
        <v>13571.94</v>
      </c>
      <c r="D18" s="47">
        <f>E18/C18</f>
        <v>0</v>
      </c>
      <c r="E18" s="47">
        <f>H18</f>
        <v>0</v>
      </c>
      <c r="F18" s="91" t="s">
        <v>31</v>
      </c>
      <c r="G18" s="45">
        <f>H18/C18</f>
        <v>0</v>
      </c>
      <c r="H18" s="47">
        <f>措施费!F24</f>
        <v>0</v>
      </c>
      <c r="I18" s="47"/>
    </row>
    <row r="19" spans="1:9" ht="21" customHeight="1">
      <c r="A19" s="47" t="s">
        <v>76</v>
      </c>
      <c r="B19" s="48" t="s">
        <v>77</v>
      </c>
      <c r="C19" s="47">
        <f>+C18</f>
        <v>13571.94</v>
      </c>
      <c r="D19" s="47">
        <f>E19/C19</f>
        <v>2559.7970015382707</v>
      </c>
      <c r="E19" s="47">
        <f>E6+E7+E8+E18</f>
        <v>34741411.317057319</v>
      </c>
      <c r="F19" s="93">
        <f t="shared" si="3"/>
        <v>0</v>
      </c>
      <c r="G19" s="45">
        <f t="shared" si="1"/>
        <v>2559.7970015382707</v>
      </c>
      <c r="H19" s="47">
        <f>H6+H7+H8+H18</f>
        <v>34741411.317057319</v>
      </c>
      <c r="I19" s="51"/>
    </row>
    <row r="20" spans="1:9" ht="34.15" customHeight="1">
      <c r="A20" s="92"/>
      <c r="B20" s="51" t="s">
        <v>63</v>
      </c>
      <c r="C20" s="92"/>
      <c r="D20" s="92"/>
      <c r="E20" s="50">
        <f>E19/1.09*0.09</f>
        <v>2868556.8977386774</v>
      </c>
      <c r="F20" s="92"/>
      <c r="G20" s="92"/>
      <c r="H20" s="50">
        <f>H19/1.09*0.09</f>
        <v>2868556.8977386774</v>
      </c>
      <c r="I20" s="92"/>
    </row>
  </sheetData>
  <sheetProtection password="C743" sheet="1" objects="1" scenarios="1"/>
  <mergeCells count="10">
    <mergeCell ref="A1:I1"/>
    <mergeCell ref="D3:E3"/>
    <mergeCell ref="F3:H3"/>
    <mergeCell ref="F4:H4"/>
    <mergeCell ref="A3:A5"/>
    <mergeCell ref="B3:B5"/>
    <mergeCell ref="C3:C4"/>
    <mergeCell ref="D4:D5"/>
    <mergeCell ref="E4:E5"/>
    <mergeCell ref="A2:I2"/>
  </mergeCells>
  <phoneticPr fontId="112" type="noConversion"/>
  <printOptions horizontalCentered="1"/>
  <pageMargins left="0.19685039370078741" right="0.19685039370078741" top="0.98425196850393704" bottom="0.39370078740157483" header="0"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1"/>
  <sheetViews>
    <sheetView view="pageBreakPreview" zoomScale="85" zoomScaleNormal="90" zoomScaleSheetLayoutView="85" workbookViewId="0">
      <selection activeCell="A11" sqref="A11:M11"/>
    </sheetView>
  </sheetViews>
  <sheetFormatPr defaultColWidth="9" defaultRowHeight="13.5"/>
  <cols>
    <col min="1" max="12" width="9.875" customWidth="1"/>
    <col min="13" max="13" width="27.5" customWidth="1"/>
    <col min="14" max="20" width="9" customWidth="1"/>
    <col min="21" max="21" width="2.875" customWidth="1"/>
    <col min="22" max="24" width="9" customWidth="1"/>
  </cols>
  <sheetData>
    <row r="1" spans="1:15">
      <c r="A1" s="605"/>
      <c r="B1" s="605"/>
      <c r="C1" s="605"/>
      <c r="D1" s="605"/>
      <c r="E1" s="605"/>
      <c r="F1" s="605"/>
      <c r="G1" s="605"/>
      <c r="H1" s="605"/>
      <c r="I1" s="605"/>
      <c r="J1" s="605"/>
      <c r="K1" s="605"/>
      <c r="L1" s="605"/>
      <c r="M1" s="605"/>
    </row>
    <row r="2" spans="1:15" ht="33.75" customHeight="1">
      <c r="A2" s="606" t="s">
        <v>78</v>
      </c>
      <c r="B2" s="606"/>
      <c r="C2" s="606"/>
      <c r="D2" s="606"/>
      <c r="E2" s="606"/>
      <c r="F2" s="606"/>
      <c r="G2" s="606"/>
      <c r="H2" s="606"/>
      <c r="I2" s="606"/>
      <c r="J2" s="606"/>
      <c r="K2" s="606"/>
      <c r="L2" s="606"/>
      <c r="M2" s="606"/>
    </row>
    <row r="3" spans="1:15" ht="14.25" customHeight="1">
      <c r="A3" s="33"/>
      <c r="B3" s="33"/>
      <c r="C3" s="33"/>
      <c r="D3" s="33"/>
      <c r="E3" s="33"/>
      <c r="F3" s="33"/>
      <c r="G3" s="33"/>
      <c r="H3" s="33"/>
      <c r="I3" s="33"/>
      <c r="J3" s="33"/>
      <c r="K3" s="33"/>
      <c r="L3" s="33"/>
      <c r="M3" s="33"/>
    </row>
    <row r="4" spans="1:15" ht="27" customHeight="1">
      <c r="A4" s="607" t="s">
        <v>79</v>
      </c>
      <c r="B4" s="607"/>
      <c r="C4" s="607"/>
      <c r="D4" s="607"/>
      <c r="E4" s="607"/>
      <c r="F4" s="607"/>
      <c r="G4" s="607"/>
      <c r="H4" s="607"/>
      <c r="I4" s="607"/>
      <c r="J4" s="607"/>
      <c r="K4" s="607"/>
      <c r="L4" s="607"/>
      <c r="M4" s="607"/>
    </row>
    <row r="5" spans="1:15" ht="58.7" customHeight="1">
      <c r="A5" s="596" t="s">
        <v>80</v>
      </c>
      <c r="B5" s="596"/>
      <c r="C5" s="596"/>
      <c r="D5" s="596"/>
      <c r="E5" s="596"/>
      <c r="F5" s="596"/>
      <c r="G5" s="596"/>
      <c r="H5" s="596"/>
      <c r="I5" s="596"/>
      <c r="J5" s="596"/>
      <c r="K5" s="596"/>
      <c r="L5" s="596"/>
      <c r="M5" s="596"/>
    </row>
    <row r="6" spans="1:15" ht="84.95" customHeight="1">
      <c r="A6" s="599" t="s">
        <v>81</v>
      </c>
      <c r="B6" s="600"/>
      <c r="C6" s="600"/>
      <c r="D6" s="600"/>
      <c r="E6" s="600"/>
      <c r="F6" s="600"/>
      <c r="G6" s="600"/>
      <c r="H6" s="600"/>
      <c r="I6" s="600"/>
      <c r="J6" s="600"/>
      <c r="K6" s="600"/>
      <c r="L6" s="600"/>
      <c r="M6" s="601"/>
    </row>
    <row r="7" spans="1:15" ht="63.95" customHeight="1">
      <c r="A7" s="599" t="s">
        <v>82</v>
      </c>
      <c r="B7" s="600"/>
      <c r="C7" s="600"/>
      <c r="D7" s="600"/>
      <c r="E7" s="600"/>
      <c r="F7" s="600"/>
      <c r="G7" s="600"/>
      <c r="H7" s="600"/>
      <c r="I7" s="600"/>
      <c r="J7" s="600"/>
      <c r="K7" s="600"/>
      <c r="L7" s="600"/>
      <c r="M7" s="601"/>
    </row>
    <row r="8" spans="1:15" ht="49.7" customHeight="1">
      <c r="A8" s="596" t="s">
        <v>83</v>
      </c>
      <c r="B8" s="596"/>
      <c r="C8" s="596"/>
      <c r="D8" s="596"/>
      <c r="E8" s="596"/>
      <c r="F8" s="596"/>
      <c r="G8" s="596"/>
      <c r="H8" s="596"/>
      <c r="I8" s="596"/>
      <c r="J8" s="596"/>
      <c r="K8" s="596"/>
      <c r="L8" s="596"/>
      <c r="M8" s="596"/>
    </row>
    <row r="9" spans="1:15" ht="72.75" customHeight="1">
      <c r="A9" s="596" t="s">
        <v>84</v>
      </c>
      <c r="B9" s="596"/>
      <c r="C9" s="596"/>
      <c r="D9" s="596"/>
      <c r="E9" s="596"/>
      <c r="F9" s="596"/>
      <c r="G9" s="596"/>
      <c r="H9" s="596"/>
      <c r="I9" s="596"/>
      <c r="J9" s="596"/>
      <c r="K9" s="596"/>
      <c r="L9" s="596"/>
      <c r="M9" s="596"/>
    </row>
    <row r="10" spans="1:15" ht="50.25" customHeight="1">
      <c r="A10" s="603" t="s">
        <v>2057</v>
      </c>
      <c r="B10" s="603"/>
      <c r="C10" s="603"/>
      <c r="D10" s="603"/>
      <c r="E10" s="603"/>
      <c r="F10" s="603"/>
      <c r="G10" s="603"/>
      <c r="H10" s="603"/>
      <c r="I10" s="603"/>
      <c r="J10" s="603"/>
      <c r="K10" s="603"/>
      <c r="L10" s="603"/>
      <c r="M10" s="603"/>
    </row>
    <row r="11" spans="1:15" ht="311.25" customHeight="1">
      <c r="A11" s="604" t="s">
        <v>2133</v>
      </c>
      <c r="B11" s="604"/>
      <c r="C11" s="604"/>
      <c r="D11" s="604"/>
      <c r="E11" s="604"/>
      <c r="F11" s="604"/>
      <c r="G11" s="604"/>
      <c r="H11" s="604"/>
      <c r="I11" s="604"/>
      <c r="J11" s="604"/>
      <c r="K11" s="604"/>
      <c r="L11" s="604"/>
      <c r="M11" s="604"/>
      <c r="O11" s="35"/>
    </row>
    <row r="12" spans="1:15" ht="162.75" customHeight="1">
      <c r="A12" s="596" t="s">
        <v>85</v>
      </c>
      <c r="B12" s="596"/>
      <c r="C12" s="596"/>
      <c r="D12" s="596"/>
      <c r="E12" s="596"/>
      <c r="F12" s="596"/>
      <c r="G12" s="596"/>
      <c r="H12" s="596"/>
      <c r="I12" s="596"/>
      <c r="J12" s="596"/>
      <c r="K12" s="596"/>
      <c r="L12" s="596"/>
      <c r="M12" s="596"/>
    </row>
    <row r="13" spans="1:15" ht="84.75" customHeight="1">
      <c r="A13" s="596" t="s">
        <v>86</v>
      </c>
      <c r="B13" s="596"/>
      <c r="C13" s="596"/>
      <c r="D13" s="596"/>
      <c r="E13" s="596"/>
      <c r="F13" s="596"/>
      <c r="G13" s="596"/>
      <c r="H13" s="596"/>
      <c r="I13" s="596"/>
      <c r="J13" s="596"/>
      <c r="K13" s="596"/>
      <c r="L13" s="596"/>
      <c r="M13" s="596"/>
    </row>
    <row r="14" spans="1:15" ht="66.75" customHeight="1">
      <c r="A14" s="596" t="s">
        <v>87</v>
      </c>
      <c r="B14" s="596"/>
      <c r="C14" s="596"/>
      <c r="D14" s="596"/>
      <c r="E14" s="596"/>
      <c r="F14" s="596"/>
      <c r="G14" s="596"/>
      <c r="H14" s="596"/>
      <c r="I14" s="596"/>
      <c r="J14" s="596"/>
      <c r="K14" s="596"/>
      <c r="L14" s="596"/>
      <c r="M14" s="596"/>
    </row>
    <row r="15" spans="1:15" ht="23.25" customHeight="1">
      <c r="A15" s="596" t="s">
        <v>88</v>
      </c>
      <c r="B15" s="596"/>
      <c r="C15" s="596"/>
      <c r="D15" s="596"/>
      <c r="E15" s="596"/>
      <c r="F15" s="596"/>
      <c r="G15" s="596"/>
      <c r="H15" s="596"/>
      <c r="I15" s="596"/>
      <c r="J15" s="596"/>
      <c r="K15" s="596"/>
      <c r="L15" s="596"/>
      <c r="M15" s="596"/>
    </row>
    <row r="16" spans="1:15" ht="18.75" customHeight="1">
      <c r="A16" s="596" t="s">
        <v>89</v>
      </c>
      <c r="B16" s="600"/>
      <c r="C16" s="600"/>
      <c r="D16" s="600"/>
      <c r="E16" s="600"/>
      <c r="F16" s="600"/>
      <c r="G16" s="600"/>
      <c r="H16" s="600"/>
      <c r="I16" s="600"/>
      <c r="J16" s="600"/>
      <c r="K16" s="600"/>
      <c r="L16" s="600"/>
      <c r="M16" s="601"/>
    </row>
    <row r="17" spans="1:24" ht="20.25" customHeight="1">
      <c r="A17" s="596" t="s">
        <v>90</v>
      </c>
      <c r="B17" s="600"/>
      <c r="C17" s="600"/>
      <c r="D17" s="600"/>
      <c r="E17" s="600"/>
      <c r="F17" s="600"/>
      <c r="G17" s="600"/>
      <c r="H17" s="600"/>
      <c r="I17" s="600"/>
      <c r="J17" s="600"/>
      <c r="K17" s="600"/>
      <c r="L17" s="600"/>
      <c r="M17" s="601"/>
    </row>
    <row r="18" spans="1:24" ht="27" customHeight="1">
      <c r="A18" s="596" t="s">
        <v>91</v>
      </c>
      <c r="B18" s="596"/>
      <c r="C18" s="596"/>
      <c r="D18" s="596"/>
      <c r="E18" s="596"/>
      <c r="F18" s="596"/>
      <c r="G18" s="596"/>
      <c r="H18" s="596"/>
      <c r="I18" s="596"/>
      <c r="J18" s="596"/>
      <c r="K18" s="596"/>
      <c r="L18" s="596"/>
      <c r="M18" s="596"/>
    </row>
    <row r="19" spans="1:24" ht="27" customHeight="1">
      <c r="A19" s="602" t="s">
        <v>92</v>
      </c>
      <c r="B19" s="602"/>
      <c r="C19" s="602"/>
      <c r="D19" s="602"/>
      <c r="E19" s="602"/>
      <c r="F19" s="602"/>
      <c r="G19" s="602"/>
      <c r="H19" s="602"/>
      <c r="I19" s="602"/>
      <c r="J19" s="602"/>
      <c r="K19" s="602"/>
      <c r="L19" s="602"/>
      <c r="M19" s="602"/>
    </row>
    <row r="20" spans="1:24" ht="23.25" customHeight="1">
      <c r="A20" s="602" t="s">
        <v>93</v>
      </c>
      <c r="B20" s="602"/>
      <c r="C20" s="602"/>
      <c r="D20" s="602"/>
      <c r="E20" s="602"/>
      <c r="F20" s="602"/>
      <c r="G20" s="602"/>
      <c r="H20" s="602"/>
      <c r="I20" s="602"/>
      <c r="J20" s="602"/>
      <c r="K20" s="602"/>
      <c r="L20" s="602"/>
      <c r="M20" s="602"/>
    </row>
    <row r="21" spans="1:24" ht="24" customHeight="1">
      <c r="A21" s="602" t="s">
        <v>94</v>
      </c>
      <c r="B21" s="602"/>
      <c r="C21" s="602"/>
      <c r="D21" s="602"/>
      <c r="E21" s="602"/>
      <c r="F21" s="602"/>
      <c r="G21" s="602"/>
      <c r="H21" s="602"/>
      <c r="I21" s="602"/>
      <c r="J21" s="602"/>
      <c r="K21" s="602"/>
      <c r="L21" s="602"/>
      <c r="M21" s="602"/>
    </row>
    <row r="22" spans="1:24" ht="30.2" customHeight="1">
      <c r="A22" s="602" t="s">
        <v>95</v>
      </c>
      <c r="B22" s="602"/>
      <c r="C22" s="602"/>
      <c r="D22" s="602"/>
      <c r="E22" s="602"/>
      <c r="F22" s="602"/>
      <c r="G22" s="602"/>
      <c r="H22" s="602"/>
      <c r="I22" s="602"/>
      <c r="J22" s="602"/>
      <c r="K22" s="602"/>
      <c r="L22" s="602"/>
      <c r="M22" s="602"/>
    </row>
    <row r="23" spans="1:24" ht="30.2" customHeight="1">
      <c r="A23" s="602" t="s">
        <v>96</v>
      </c>
      <c r="B23" s="602"/>
      <c r="C23" s="602"/>
      <c r="D23" s="602"/>
      <c r="E23" s="602"/>
      <c r="F23" s="602"/>
      <c r="G23" s="602"/>
      <c r="H23" s="602"/>
      <c r="I23" s="602"/>
      <c r="J23" s="602"/>
      <c r="K23" s="602"/>
      <c r="L23" s="602"/>
      <c r="M23" s="602"/>
    </row>
    <row r="24" spans="1:24" ht="30.2" customHeight="1">
      <c r="A24" s="602" t="s">
        <v>97</v>
      </c>
      <c r="B24" s="602"/>
      <c r="C24" s="602"/>
      <c r="D24" s="602"/>
      <c r="E24" s="602"/>
      <c r="F24" s="602"/>
      <c r="G24" s="602"/>
      <c r="H24" s="602"/>
      <c r="I24" s="602"/>
      <c r="J24" s="602"/>
      <c r="K24" s="602"/>
      <c r="L24" s="602"/>
      <c r="M24" s="602"/>
    </row>
    <row r="25" spans="1:24" ht="30.2" customHeight="1">
      <c r="A25" s="602" t="s">
        <v>98</v>
      </c>
      <c r="B25" s="602"/>
      <c r="C25" s="602"/>
      <c r="D25" s="602"/>
      <c r="E25" s="602"/>
      <c r="F25" s="602"/>
      <c r="G25" s="602"/>
      <c r="H25" s="602"/>
      <c r="I25" s="602"/>
      <c r="J25" s="602"/>
      <c r="K25" s="602"/>
      <c r="L25" s="602"/>
      <c r="M25" s="602"/>
    </row>
    <row r="26" spans="1:24" ht="30.2" customHeight="1">
      <c r="A26" s="602" t="s">
        <v>99</v>
      </c>
      <c r="B26" s="602"/>
      <c r="C26" s="602"/>
      <c r="D26" s="602"/>
      <c r="E26" s="602"/>
      <c r="F26" s="602"/>
      <c r="G26" s="602"/>
      <c r="H26" s="602"/>
      <c r="I26" s="602"/>
      <c r="J26" s="602"/>
      <c r="K26" s="602"/>
      <c r="L26" s="602"/>
      <c r="M26" s="602"/>
    </row>
    <row r="27" spans="1:24" ht="30.2" customHeight="1">
      <c r="A27" s="597" t="s">
        <v>100</v>
      </c>
      <c r="B27" s="597"/>
      <c r="C27" s="597"/>
      <c r="D27" s="597"/>
      <c r="E27" s="597"/>
      <c r="F27" s="597"/>
      <c r="G27" s="597"/>
      <c r="H27" s="597"/>
      <c r="I27" s="597"/>
      <c r="J27" s="597"/>
      <c r="K27" s="597"/>
      <c r="L27" s="597"/>
      <c r="M27" s="597"/>
      <c r="P27" s="598"/>
      <c r="Q27" s="598"/>
      <c r="R27" s="598"/>
      <c r="S27" s="598"/>
      <c r="T27" s="598"/>
      <c r="U27" s="598"/>
      <c r="V27" s="598"/>
      <c r="W27" s="598"/>
      <c r="X27" s="598"/>
    </row>
    <row r="28" spans="1:24" ht="42" customHeight="1">
      <c r="A28" s="596" t="s">
        <v>101</v>
      </c>
      <c r="B28" s="596"/>
      <c r="C28" s="596"/>
      <c r="D28" s="596"/>
      <c r="E28" s="596"/>
      <c r="F28" s="596"/>
      <c r="G28" s="596"/>
      <c r="H28" s="596"/>
      <c r="I28" s="596"/>
      <c r="J28" s="596"/>
      <c r="K28" s="596"/>
      <c r="L28" s="596"/>
      <c r="M28" s="596"/>
    </row>
    <row r="29" spans="1:24" ht="30.75" customHeight="1">
      <c r="A29" s="599" t="s">
        <v>102</v>
      </c>
      <c r="B29" s="600"/>
      <c r="C29" s="600"/>
      <c r="D29" s="600"/>
      <c r="E29" s="600"/>
      <c r="F29" s="600"/>
      <c r="G29" s="600"/>
      <c r="H29" s="600"/>
      <c r="I29" s="600"/>
      <c r="J29" s="600"/>
      <c r="K29" s="600"/>
      <c r="L29" s="600"/>
      <c r="M29" s="601"/>
    </row>
    <row r="30" spans="1:24" ht="23.25" customHeight="1">
      <c r="A30" s="596" t="s">
        <v>103</v>
      </c>
      <c r="B30" s="596"/>
      <c r="C30" s="596"/>
      <c r="D30" s="596"/>
      <c r="E30" s="596"/>
      <c r="F30" s="596"/>
      <c r="G30" s="596"/>
      <c r="H30" s="596"/>
      <c r="I30" s="596"/>
      <c r="J30" s="596"/>
      <c r="K30" s="596"/>
      <c r="L30" s="596"/>
      <c r="M30" s="596"/>
    </row>
    <row r="31" spans="1:24" ht="23.25" customHeight="1">
      <c r="A31" s="596" t="s">
        <v>104</v>
      </c>
      <c r="B31" s="596"/>
      <c r="C31" s="596"/>
      <c r="D31" s="596"/>
      <c r="E31" s="596"/>
      <c r="F31" s="596"/>
      <c r="G31" s="596"/>
      <c r="H31" s="596"/>
      <c r="I31" s="596"/>
      <c r="J31" s="596"/>
      <c r="K31" s="596"/>
      <c r="L31" s="596"/>
      <c r="M31" s="596"/>
    </row>
    <row r="32" spans="1:24" ht="22.7" customHeight="1">
      <c r="A32" s="596" t="s">
        <v>105</v>
      </c>
      <c r="B32" s="596"/>
      <c r="C32" s="596"/>
      <c r="D32" s="596"/>
      <c r="E32" s="596"/>
      <c r="F32" s="596"/>
      <c r="G32" s="596"/>
      <c r="H32" s="596"/>
      <c r="I32" s="596"/>
      <c r="J32" s="596"/>
      <c r="K32" s="596"/>
      <c r="L32" s="596"/>
      <c r="M32" s="596"/>
    </row>
    <row r="33" spans="1:13" ht="26.45" customHeight="1">
      <c r="A33" s="596" t="s">
        <v>106</v>
      </c>
      <c r="B33" s="596"/>
      <c r="C33" s="596"/>
      <c r="D33" s="596"/>
      <c r="E33" s="596"/>
      <c r="F33" s="596"/>
      <c r="G33" s="596"/>
      <c r="H33" s="596"/>
      <c r="I33" s="596"/>
      <c r="J33" s="596"/>
      <c r="K33" s="596"/>
      <c r="L33" s="596"/>
      <c r="M33" s="596"/>
    </row>
    <row r="34" spans="1:13" ht="25.5" customHeight="1">
      <c r="A34" s="596" t="s">
        <v>107</v>
      </c>
      <c r="B34" s="596"/>
      <c r="C34" s="596"/>
      <c r="D34" s="596"/>
      <c r="E34" s="596"/>
      <c r="F34" s="596"/>
      <c r="G34" s="596"/>
      <c r="H34" s="596"/>
      <c r="I34" s="596"/>
      <c r="J34" s="596"/>
      <c r="K34" s="596"/>
      <c r="L34" s="596"/>
      <c r="M34" s="596"/>
    </row>
    <row r="35" spans="1:13" ht="35.450000000000003" customHeight="1">
      <c r="A35" s="596" t="s">
        <v>108</v>
      </c>
      <c r="B35" s="596"/>
      <c r="C35" s="596"/>
      <c r="D35" s="596"/>
      <c r="E35" s="596"/>
      <c r="F35" s="596"/>
      <c r="G35" s="596"/>
      <c r="H35" s="596"/>
      <c r="I35" s="596"/>
      <c r="J35" s="596"/>
      <c r="K35" s="596"/>
      <c r="L35" s="596"/>
      <c r="M35" s="596"/>
    </row>
    <row r="36" spans="1:13" ht="28.5" customHeight="1">
      <c r="A36" s="590" t="s">
        <v>109</v>
      </c>
      <c r="B36" s="591"/>
      <c r="C36" s="591"/>
      <c r="D36" s="591"/>
      <c r="E36" s="591"/>
      <c r="F36" s="591"/>
      <c r="G36" s="591"/>
      <c r="H36" s="591"/>
      <c r="I36" s="591"/>
      <c r="J36" s="591"/>
      <c r="K36" s="591"/>
      <c r="L36" s="591"/>
      <c r="M36" s="592"/>
    </row>
    <row r="37" spans="1:13" ht="32.25" customHeight="1">
      <c r="A37" s="593" t="s">
        <v>110</v>
      </c>
      <c r="B37" s="594"/>
      <c r="C37" s="594"/>
      <c r="D37" s="594"/>
      <c r="E37" s="594"/>
      <c r="F37" s="594"/>
      <c r="G37" s="594"/>
      <c r="H37" s="594"/>
      <c r="I37" s="594"/>
      <c r="J37" s="594"/>
      <c r="K37" s="594"/>
      <c r="L37" s="594"/>
      <c r="M37" s="595"/>
    </row>
    <row r="38" spans="1:13" ht="18.75" customHeight="1">
      <c r="A38" s="593" t="s">
        <v>111</v>
      </c>
      <c r="B38" s="594"/>
      <c r="C38" s="594"/>
      <c r="D38" s="594"/>
      <c r="E38" s="594"/>
      <c r="F38" s="594"/>
      <c r="G38" s="594"/>
      <c r="H38" s="594"/>
      <c r="I38" s="594"/>
      <c r="J38" s="594"/>
      <c r="K38" s="594"/>
      <c r="L38" s="594"/>
      <c r="M38" s="595"/>
    </row>
    <row r="39" spans="1:13" ht="19.5" customHeight="1">
      <c r="A39" s="593" t="s">
        <v>112</v>
      </c>
      <c r="B39" s="594"/>
      <c r="C39" s="594"/>
      <c r="D39" s="594"/>
      <c r="E39" s="594"/>
      <c r="F39" s="594"/>
      <c r="G39" s="594"/>
      <c r="H39" s="594"/>
      <c r="I39" s="594"/>
      <c r="J39" s="594"/>
      <c r="K39" s="594"/>
      <c r="L39" s="594"/>
      <c r="M39" s="595"/>
    </row>
    <row r="40" spans="1:13">
      <c r="A40" s="34"/>
    </row>
    <row r="41" spans="1:13">
      <c r="A41" s="34"/>
    </row>
  </sheetData>
  <sheetProtection password="C743" sheet="1" objects="1" scenarios="1"/>
  <mergeCells count="39">
    <mergeCell ref="A1:M1"/>
    <mergeCell ref="A2:M2"/>
    <mergeCell ref="A4:M4"/>
    <mergeCell ref="A5:M5"/>
    <mergeCell ref="A6:M6"/>
    <mergeCell ref="A7:M7"/>
    <mergeCell ref="A8:M8"/>
    <mergeCell ref="A9:M9"/>
    <mergeCell ref="A10:M10"/>
    <mergeCell ref="A11:M11"/>
    <mergeCell ref="A12:M12"/>
    <mergeCell ref="A13:M13"/>
    <mergeCell ref="A14:M14"/>
    <mergeCell ref="A15:M15"/>
    <mergeCell ref="A16:M16"/>
    <mergeCell ref="A17:M17"/>
    <mergeCell ref="A18:M18"/>
    <mergeCell ref="A19:M19"/>
    <mergeCell ref="A20:M20"/>
    <mergeCell ref="A21:M21"/>
    <mergeCell ref="A22:M22"/>
    <mergeCell ref="A23:M23"/>
    <mergeCell ref="A24:M24"/>
    <mergeCell ref="A25:M25"/>
    <mergeCell ref="A26:M26"/>
    <mergeCell ref="A27:M27"/>
    <mergeCell ref="P27:X27"/>
    <mergeCell ref="A28:M28"/>
    <mergeCell ref="A29:M29"/>
    <mergeCell ref="A30:M30"/>
    <mergeCell ref="A36:M36"/>
    <mergeCell ref="A37:M37"/>
    <mergeCell ref="A38:M38"/>
    <mergeCell ref="A39:M39"/>
    <mergeCell ref="A31:M31"/>
    <mergeCell ref="A32:M32"/>
    <mergeCell ref="A33:M33"/>
    <mergeCell ref="A34:M34"/>
    <mergeCell ref="A35:M35"/>
  </mergeCells>
  <phoneticPr fontId="112" type="noConversion"/>
  <printOptions horizontalCentered="1"/>
  <pageMargins left="0.19685039370078741" right="0.19685039370078741" top="0.98425196850393704" bottom="0.39370078740157483" header="0" footer="0.31496062992125984"/>
  <pageSetup paperSize="9" orientation="landscape"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5"/>
  <sheetViews>
    <sheetView view="pageBreakPreview" zoomScaleNormal="85" zoomScaleSheetLayoutView="100" workbookViewId="0">
      <selection activeCell="A23" sqref="A23"/>
    </sheetView>
  </sheetViews>
  <sheetFormatPr defaultColWidth="9" defaultRowHeight="13.5"/>
  <cols>
    <col min="1" max="1" width="158.125" customWidth="1"/>
    <col min="3" max="3" width="25.5" customWidth="1"/>
    <col min="4" max="4" width="22.875" customWidth="1"/>
    <col min="5" max="5" width="12.5" customWidth="1"/>
    <col min="6" max="6" width="17.5" customWidth="1"/>
    <col min="13" max="13" width="40.5" customWidth="1"/>
    <col min="14" max="20" width="9" customWidth="1"/>
    <col min="21" max="21" width="2.875" customWidth="1"/>
    <col min="22" max="24" width="9" customWidth="1"/>
  </cols>
  <sheetData>
    <row r="1" spans="1:9" ht="21.75">
      <c r="A1" s="18" t="s">
        <v>113</v>
      </c>
      <c r="B1" s="19"/>
      <c r="C1" s="20"/>
      <c r="D1" s="20"/>
      <c r="E1" s="20"/>
      <c r="F1" s="20"/>
      <c r="G1" s="19"/>
      <c r="H1" s="19"/>
      <c r="I1" s="19"/>
    </row>
    <row r="2" spans="1:9">
      <c r="A2" s="532" t="s">
        <v>114</v>
      </c>
      <c r="C2" s="608"/>
      <c r="D2" s="608"/>
      <c r="E2" s="608"/>
      <c r="F2" s="608"/>
    </row>
    <row r="3" spans="1:9">
      <c r="A3" s="533" t="s">
        <v>115</v>
      </c>
      <c r="B3" s="21"/>
      <c r="C3" s="22"/>
      <c r="D3" s="23"/>
      <c r="E3" s="24"/>
      <c r="F3" s="24"/>
      <c r="G3" s="21"/>
      <c r="H3" s="21"/>
      <c r="I3" s="21"/>
    </row>
    <row r="4" spans="1:9">
      <c r="A4" s="533" t="s">
        <v>116</v>
      </c>
      <c r="B4" s="25"/>
      <c r="C4" s="22"/>
      <c r="D4" s="23"/>
      <c r="E4" s="611"/>
      <c r="F4" s="611"/>
      <c r="G4" s="25"/>
      <c r="H4" s="25"/>
      <c r="I4" s="25"/>
    </row>
    <row r="5" spans="1:9">
      <c r="A5" s="534" t="s">
        <v>117</v>
      </c>
      <c r="B5" s="21"/>
      <c r="C5" s="22"/>
      <c r="D5" s="23"/>
      <c r="E5" s="611"/>
      <c r="F5" s="611"/>
      <c r="G5" s="21"/>
      <c r="H5" s="21"/>
      <c r="I5" s="21"/>
    </row>
    <row r="6" spans="1:9" ht="45.75" customHeight="1">
      <c r="A6" s="535" t="s">
        <v>118</v>
      </c>
      <c r="B6" s="21"/>
      <c r="C6" s="22"/>
      <c r="D6" s="26"/>
      <c r="E6" s="611"/>
      <c r="F6" s="611"/>
      <c r="G6" s="21"/>
      <c r="H6" s="21"/>
      <c r="I6" s="21"/>
    </row>
    <row r="7" spans="1:9" ht="63.95" customHeight="1">
      <c r="A7" s="533" t="s">
        <v>119</v>
      </c>
      <c r="B7" s="21"/>
      <c r="C7" s="22"/>
      <c r="D7" s="23"/>
      <c r="E7" s="611"/>
      <c r="F7" s="611"/>
      <c r="G7" s="21"/>
      <c r="H7" s="21"/>
      <c r="I7" s="21"/>
    </row>
    <row r="8" spans="1:9">
      <c r="A8" s="533" t="s">
        <v>120</v>
      </c>
      <c r="B8" s="21"/>
      <c r="C8" s="22"/>
      <c r="D8" s="23"/>
      <c r="E8" s="611"/>
      <c r="F8" s="611"/>
      <c r="G8" s="21"/>
      <c r="H8" s="21"/>
      <c r="I8" s="21"/>
    </row>
    <row r="9" spans="1:9">
      <c r="A9" s="533" t="s">
        <v>121</v>
      </c>
      <c r="B9" s="21"/>
      <c r="C9" s="22"/>
      <c r="D9" s="23"/>
      <c r="E9" s="611"/>
      <c r="F9" s="611"/>
      <c r="G9" s="21"/>
      <c r="H9" s="21"/>
      <c r="I9" s="21"/>
    </row>
    <row r="10" spans="1:9">
      <c r="A10" s="532" t="s">
        <v>122</v>
      </c>
      <c r="B10" s="21"/>
      <c r="C10" s="22"/>
      <c r="D10" s="26"/>
      <c r="E10" s="24"/>
      <c r="F10" s="24"/>
      <c r="G10" s="21"/>
      <c r="H10" s="21"/>
      <c r="I10" s="21"/>
    </row>
    <row r="11" spans="1:9">
      <c r="A11" s="532" t="s">
        <v>123</v>
      </c>
      <c r="B11" s="27"/>
      <c r="C11" s="22"/>
      <c r="D11" s="23"/>
      <c r="E11" s="24"/>
      <c r="F11" s="24"/>
      <c r="G11" s="27"/>
      <c r="H11" s="27"/>
      <c r="I11" s="27"/>
    </row>
    <row r="12" spans="1:9">
      <c r="A12" s="532" t="s">
        <v>124</v>
      </c>
      <c r="B12" s="21"/>
      <c r="C12" s="28"/>
      <c r="D12" s="28"/>
      <c r="E12" s="28"/>
      <c r="F12" s="28"/>
      <c r="G12" s="21"/>
      <c r="H12" s="21"/>
      <c r="I12" s="21"/>
    </row>
    <row r="13" spans="1:9">
      <c r="A13" s="532" t="s">
        <v>125</v>
      </c>
    </row>
    <row r="14" spans="1:9">
      <c r="A14" s="532" t="s">
        <v>126</v>
      </c>
    </row>
    <row r="15" spans="1:9">
      <c r="A15" s="532" t="s">
        <v>127</v>
      </c>
      <c r="B15" s="29"/>
    </row>
    <row r="16" spans="1:9">
      <c r="A16" s="532" t="s">
        <v>128</v>
      </c>
    </row>
    <row r="17" spans="1:6">
      <c r="A17" s="532" t="s">
        <v>129</v>
      </c>
      <c r="C17" s="30"/>
      <c r="D17" s="31"/>
      <c r="E17" s="31"/>
      <c r="F17" s="31"/>
    </row>
    <row r="18" spans="1:6">
      <c r="A18" s="532"/>
      <c r="C18" s="30"/>
      <c r="D18" s="610"/>
      <c r="E18" s="31"/>
      <c r="F18" s="609"/>
    </row>
    <row r="19" spans="1:6">
      <c r="A19" s="536"/>
      <c r="B19" s="29"/>
      <c r="C19" s="30"/>
      <c r="D19" s="610"/>
      <c r="E19" s="31"/>
      <c r="F19" s="609"/>
    </row>
    <row r="20" spans="1:6">
      <c r="A20" s="537"/>
      <c r="B20" s="29"/>
      <c r="C20" s="30"/>
      <c r="D20" s="31"/>
      <c r="E20" s="31"/>
      <c r="F20" s="31"/>
    </row>
    <row r="21" spans="1:6">
      <c r="A21" s="536"/>
      <c r="C21" s="30"/>
      <c r="D21" s="31"/>
      <c r="E21" s="31"/>
      <c r="F21" s="31"/>
    </row>
    <row r="22" spans="1:6">
      <c r="A22" s="538"/>
      <c r="C22" s="30"/>
      <c r="D22" s="31"/>
      <c r="E22" s="31"/>
      <c r="F22" s="31"/>
    </row>
    <row r="23" spans="1:6">
      <c r="A23" s="538"/>
      <c r="C23" s="30"/>
      <c r="D23" s="31"/>
      <c r="E23" s="31"/>
      <c r="F23" s="31"/>
    </row>
    <row r="24" spans="1:6">
      <c r="A24" s="538"/>
      <c r="C24" s="30"/>
      <c r="D24" s="31"/>
      <c r="E24" s="31"/>
      <c r="F24" s="31"/>
    </row>
    <row r="25" spans="1:6">
      <c r="A25" s="538"/>
      <c r="C25" s="30"/>
      <c r="D25" s="31"/>
      <c r="E25" s="31"/>
      <c r="F25" s="31"/>
    </row>
    <row r="26" spans="1:6">
      <c r="A26" s="538"/>
      <c r="C26" s="30"/>
      <c r="D26" s="31"/>
      <c r="E26" s="31"/>
      <c r="F26" s="32"/>
    </row>
    <row r="27" spans="1:6">
      <c r="A27" s="538"/>
      <c r="C27" s="30"/>
      <c r="D27" s="31"/>
      <c r="E27" s="31"/>
      <c r="F27" s="32"/>
    </row>
    <row r="28" spans="1:6">
      <c r="A28" s="538"/>
      <c r="C28" s="30"/>
      <c r="D28" s="31"/>
      <c r="E28" s="31"/>
      <c r="F28" s="31"/>
    </row>
    <row r="29" spans="1:6">
      <c r="A29" s="538"/>
      <c r="C29" s="30"/>
      <c r="D29" s="609"/>
      <c r="E29" s="609"/>
      <c r="F29" s="609"/>
    </row>
    <row r="30" spans="1:6">
      <c r="C30" s="30"/>
      <c r="D30" s="31"/>
      <c r="E30" s="31"/>
      <c r="F30" s="31"/>
    </row>
    <row r="31" spans="1:6">
      <c r="C31" s="30"/>
      <c r="D31" s="31"/>
      <c r="E31" s="31"/>
      <c r="F31" s="31"/>
    </row>
    <row r="32" spans="1:6">
      <c r="C32" s="30"/>
      <c r="D32" s="31"/>
      <c r="E32" s="31"/>
      <c r="F32" s="31"/>
    </row>
    <row r="33" spans="3:6">
      <c r="C33" s="30"/>
      <c r="D33" s="31"/>
      <c r="E33" s="31"/>
      <c r="F33" s="31"/>
    </row>
    <row r="34" spans="3:6">
      <c r="C34" s="30"/>
      <c r="D34" s="31"/>
      <c r="E34" s="31"/>
      <c r="F34" s="32"/>
    </row>
    <row r="35" spans="3:6">
      <c r="C35" s="30"/>
      <c r="D35" s="31"/>
      <c r="E35" s="31"/>
      <c r="F35" s="32"/>
    </row>
  </sheetData>
  <sheetProtection password="C743" sheet="1" objects="1" scenarios="1"/>
  <mergeCells count="9">
    <mergeCell ref="C2:D2"/>
    <mergeCell ref="E2:F2"/>
    <mergeCell ref="D29:F29"/>
    <mergeCell ref="D18:D19"/>
    <mergeCell ref="E4:E5"/>
    <mergeCell ref="E6:E9"/>
    <mergeCell ref="F4:F5"/>
    <mergeCell ref="F6:F9"/>
    <mergeCell ref="F18:F19"/>
  </mergeCells>
  <phoneticPr fontId="112" type="noConversion"/>
  <printOptions horizontalCentered="1"/>
  <pageMargins left="0.19685039370078741" right="0.19685039370078741" top="0.98425196850393704" bottom="0.39370078740157483" header="0" footer="0.31496062992125984"/>
  <pageSetup paperSize="9" orientation="landscape" r:id="rId1"/>
  <headerFooter>
    <oddFooter>&amp;C第 &amp;P 页，共 &amp;N 页</oddFooter>
  </headerFooter>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4"/>
  <sheetViews>
    <sheetView view="pageBreakPreview" zoomScaleNormal="80" zoomScaleSheetLayoutView="100" workbookViewId="0">
      <pane xSplit="7" ySplit="4" topLeftCell="H5" activePane="bottomRight" state="frozen"/>
      <selection pane="topRight"/>
      <selection pane="bottomLeft"/>
      <selection pane="bottomRight" activeCell="G10" sqref="G10 J10:K10"/>
    </sheetView>
  </sheetViews>
  <sheetFormatPr defaultColWidth="9" defaultRowHeight="13.5" outlineLevelCol="1"/>
  <cols>
    <col min="1" max="2" width="2.25" customWidth="1"/>
    <col min="3" max="3" width="6.375" customWidth="1"/>
    <col min="4" max="4" width="17" customWidth="1" outlineLevel="1"/>
    <col min="5" max="5" width="14.5" customWidth="1" outlineLevel="1"/>
    <col min="6" max="6" width="3.5" customWidth="1"/>
    <col min="7" max="7" width="9.375" customWidth="1"/>
    <col min="8" max="9" width="12.75" customWidth="1"/>
    <col min="10" max="10" width="7.625" customWidth="1"/>
    <col min="11" max="11" width="6.625" customWidth="1"/>
    <col min="12" max="12" width="5.75" customWidth="1"/>
    <col min="13" max="13" width="6.625" customWidth="1"/>
    <col min="14" max="14" width="7.5" customWidth="1"/>
    <col min="15" max="16" width="5.75" customWidth="1"/>
    <col min="17" max="19" width="6.625" customWidth="1"/>
    <col min="20" max="20" width="5.75" customWidth="1"/>
    <col min="21" max="21" width="5.625" customWidth="1"/>
    <col min="22" max="22" width="12.125" customWidth="1"/>
  </cols>
  <sheetData>
    <row r="1" spans="1:21" ht="35.450000000000003" customHeight="1">
      <c r="A1" s="614" t="s">
        <v>130</v>
      </c>
      <c r="B1" s="614"/>
      <c r="C1" s="615"/>
      <c r="D1" s="615"/>
      <c r="E1" s="614"/>
      <c r="F1" s="614"/>
      <c r="G1" s="614"/>
      <c r="H1" s="614"/>
      <c r="I1" s="614"/>
      <c r="J1" s="614"/>
      <c r="K1" s="614"/>
      <c r="L1" s="614"/>
      <c r="M1" s="614"/>
      <c r="N1" s="614"/>
      <c r="O1" s="614"/>
      <c r="P1" s="614"/>
      <c r="Q1" s="614"/>
      <c r="R1" s="614"/>
      <c r="S1" s="614"/>
      <c r="T1" s="16"/>
    </row>
    <row r="2" spans="1:21">
      <c r="A2" s="617" t="s">
        <v>9</v>
      </c>
      <c r="B2" s="617" t="s">
        <v>131</v>
      </c>
      <c r="C2" s="618" t="s">
        <v>132</v>
      </c>
      <c r="D2" s="618" t="s">
        <v>133</v>
      </c>
      <c r="E2" s="617" t="s">
        <v>134</v>
      </c>
      <c r="F2" s="617" t="s">
        <v>135</v>
      </c>
      <c r="G2" s="612" t="s">
        <v>136</v>
      </c>
      <c r="H2" s="612" t="s">
        <v>137</v>
      </c>
      <c r="I2" s="612" t="s">
        <v>138</v>
      </c>
      <c r="J2" s="620" t="s">
        <v>139</v>
      </c>
      <c r="K2" s="616" t="s">
        <v>140</v>
      </c>
      <c r="L2" s="616" t="s">
        <v>141</v>
      </c>
      <c r="M2" s="616" t="s">
        <v>142</v>
      </c>
      <c r="N2" s="616" t="s">
        <v>143</v>
      </c>
      <c r="O2" s="616"/>
      <c r="P2" s="616"/>
      <c r="Q2" s="616"/>
      <c r="R2" s="616"/>
      <c r="S2" s="616"/>
      <c r="T2" s="94"/>
      <c r="U2" s="612" t="s">
        <v>11</v>
      </c>
    </row>
    <row r="3" spans="1:21" ht="52.5">
      <c r="A3" s="617"/>
      <c r="B3" s="617"/>
      <c r="C3" s="618"/>
      <c r="D3" s="618"/>
      <c r="E3" s="617"/>
      <c r="F3" s="617"/>
      <c r="G3" s="619"/>
      <c r="H3" s="619"/>
      <c r="I3" s="619"/>
      <c r="J3" s="621"/>
      <c r="K3" s="616"/>
      <c r="L3" s="616"/>
      <c r="M3" s="616"/>
      <c r="N3" s="95" t="s">
        <v>144</v>
      </c>
      <c r="O3" s="95" t="s">
        <v>145</v>
      </c>
      <c r="P3" s="95" t="s">
        <v>146</v>
      </c>
      <c r="Q3" s="95" t="s">
        <v>147</v>
      </c>
      <c r="R3" s="96" t="s">
        <v>148</v>
      </c>
      <c r="S3" s="95" t="s">
        <v>149</v>
      </c>
      <c r="T3" s="97" t="s">
        <v>150</v>
      </c>
      <c r="U3" s="613"/>
    </row>
    <row r="4" spans="1:21" ht="21">
      <c r="A4" s="617"/>
      <c r="B4" s="617"/>
      <c r="C4" s="618"/>
      <c r="D4" s="618"/>
      <c r="E4" s="617"/>
      <c r="F4" s="617"/>
      <c r="G4" s="613"/>
      <c r="H4" s="613"/>
      <c r="I4" s="613"/>
      <c r="J4" s="622"/>
      <c r="K4" s="98" t="s">
        <v>151</v>
      </c>
      <c r="L4" s="99" t="s">
        <v>152</v>
      </c>
      <c r="M4" s="98" t="s">
        <v>153</v>
      </c>
      <c r="N4" s="100" t="s">
        <v>154</v>
      </c>
      <c r="O4" s="101" t="s">
        <v>155</v>
      </c>
      <c r="P4" s="101" t="s">
        <v>156</v>
      </c>
      <c r="Q4" s="100" t="s">
        <v>157</v>
      </c>
      <c r="R4" s="102" t="s">
        <v>158</v>
      </c>
      <c r="S4" s="103" t="s">
        <v>2060</v>
      </c>
      <c r="T4" s="97" t="s">
        <v>159</v>
      </c>
      <c r="U4" s="104"/>
    </row>
    <row r="5" spans="1:21" ht="29.25" customHeight="1">
      <c r="A5" s="105" t="s">
        <v>45</v>
      </c>
      <c r="B5" s="105">
        <v>1</v>
      </c>
      <c r="C5" s="106" t="s">
        <v>65</v>
      </c>
      <c r="D5" s="107"/>
      <c r="E5" s="107"/>
      <c r="F5" s="105"/>
      <c r="G5" s="105"/>
      <c r="H5" s="105"/>
      <c r="I5" s="105"/>
      <c r="J5" s="105"/>
      <c r="K5" s="98"/>
      <c r="L5" s="99"/>
      <c r="M5" s="98"/>
      <c r="N5" s="100"/>
      <c r="O5" s="101"/>
      <c r="P5" s="101"/>
      <c r="Q5" s="100"/>
      <c r="R5" s="102"/>
      <c r="S5" s="108"/>
      <c r="T5" s="109"/>
      <c r="U5" s="110"/>
    </row>
    <row r="6" spans="1:21" ht="63">
      <c r="A6" s="111">
        <v>1</v>
      </c>
      <c r="B6" s="111">
        <v>2</v>
      </c>
      <c r="C6" s="110" t="s">
        <v>160</v>
      </c>
      <c r="D6" s="112" t="s">
        <v>2061</v>
      </c>
      <c r="E6" s="112" t="s">
        <v>161</v>
      </c>
      <c r="F6" s="104" t="s">
        <v>162</v>
      </c>
      <c r="G6" s="113">
        <v>60000</v>
      </c>
      <c r="H6" s="113">
        <f>G6*K6</f>
        <v>1474770</v>
      </c>
      <c r="I6" s="113">
        <f>G6*K6*(1+J6)</f>
        <v>1474770</v>
      </c>
      <c r="J6" s="124"/>
      <c r="K6" s="183">
        <f>L6+M6</f>
        <v>24.579499999999999</v>
      </c>
      <c r="L6" s="183">
        <f>M6*0.09</f>
        <v>2.0295000000000001</v>
      </c>
      <c r="M6" s="183">
        <f t="shared" ref="M6" si="0">N6+O6+P6+Q6+S6</f>
        <v>22.55</v>
      </c>
      <c r="N6" s="114">
        <v>2.5</v>
      </c>
      <c r="O6" s="114">
        <v>0</v>
      </c>
      <c r="P6" s="114">
        <v>0</v>
      </c>
      <c r="Q6" s="114">
        <v>18</v>
      </c>
      <c r="R6" s="115">
        <v>0.1</v>
      </c>
      <c r="S6" s="184">
        <f t="shared" ref="S6" si="1">SUM(N6:Q6)*R6</f>
        <v>2.0500000000000003</v>
      </c>
      <c r="T6" s="185"/>
      <c r="U6" s="186"/>
    </row>
    <row r="7" spans="1:21" ht="52.5">
      <c r="A7" s="111">
        <v>2</v>
      </c>
      <c r="B7" s="111">
        <v>2</v>
      </c>
      <c r="C7" s="110" t="s">
        <v>163</v>
      </c>
      <c r="D7" s="112" t="s">
        <v>164</v>
      </c>
      <c r="E7" s="112" t="s">
        <v>165</v>
      </c>
      <c r="F7" s="104" t="s">
        <v>162</v>
      </c>
      <c r="G7" s="113">
        <v>50000</v>
      </c>
      <c r="H7" s="113">
        <f t="shared" ref="H7:H12" si="2">G7*K7</f>
        <v>989174.99999999988</v>
      </c>
      <c r="I7" s="113">
        <f t="shared" ref="I7:I13" si="3">G7*K7*(1+J7)</f>
        <v>989174.99999999988</v>
      </c>
      <c r="J7" s="124"/>
      <c r="K7" s="183">
        <f>L7+M7</f>
        <v>19.783499999999997</v>
      </c>
      <c r="L7" s="183">
        <f>M7*0.09</f>
        <v>1.6334999999999997</v>
      </c>
      <c r="M7" s="183">
        <f t="shared" ref="M7" si="4">N7+O7+P7+Q7+S7</f>
        <v>18.149999999999999</v>
      </c>
      <c r="N7" s="114">
        <v>2.5</v>
      </c>
      <c r="O7" s="114">
        <v>0</v>
      </c>
      <c r="P7" s="114">
        <v>0</v>
      </c>
      <c r="Q7" s="114">
        <v>14</v>
      </c>
      <c r="R7" s="115">
        <v>0.1</v>
      </c>
      <c r="S7" s="184">
        <f t="shared" ref="S7" si="5">SUM(N7:Q7)*R7</f>
        <v>1.6500000000000001</v>
      </c>
      <c r="T7" s="185"/>
      <c r="U7" s="186"/>
    </row>
    <row r="8" spans="1:21" ht="73.150000000000006" customHeight="1">
      <c r="A8" s="111">
        <v>3</v>
      </c>
      <c r="B8" s="111">
        <v>2</v>
      </c>
      <c r="C8" s="110" t="s">
        <v>166</v>
      </c>
      <c r="D8" s="112" t="s">
        <v>2062</v>
      </c>
      <c r="E8" s="112" t="s">
        <v>167</v>
      </c>
      <c r="F8" s="104" t="s">
        <v>162</v>
      </c>
      <c r="G8" s="113">
        <v>5000</v>
      </c>
      <c r="H8" s="113">
        <f t="shared" si="2"/>
        <v>359700</v>
      </c>
      <c r="I8" s="113">
        <f t="shared" si="3"/>
        <v>359700</v>
      </c>
      <c r="J8" s="124"/>
      <c r="K8" s="183">
        <f t="shared" ref="K8:K13" si="6">L8+M8</f>
        <v>71.94</v>
      </c>
      <c r="L8" s="183">
        <f t="shared" ref="L8:L13" si="7">M8*0.09</f>
        <v>5.9399999999999995</v>
      </c>
      <c r="M8" s="183">
        <f t="shared" ref="M8:M13" si="8">N8+O8+P8+Q8+S8</f>
        <v>66</v>
      </c>
      <c r="N8" s="114">
        <v>0</v>
      </c>
      <c r="O8" s="114">
        <v>0</v>
      </c>
      <c r="P8" s="114">
        <v>0</v>
      </c>
      <c r="Q8" s="114">
        <v>60</v>
      </c>
      <c r="R8" s="115">
        <v>0.1</v>
      </c>
      <c r="S8" s="184">
        <f t="shared" ref="S8:S13" si="9">SUM(N8:Q8)*R8</f>
        <v>6</v>
      </c>
      <c r="T8" s="185"/>
      <c r="U8" s="186"/>
    </row>
    <row r="9" spans="1:21" ht="61.9" customHeight="1">
      <c r="A9" s="111">
        <v>4</v>
      </c>
      <c r="B9" s="111">
        <v>2</v>
      </c>
      <c r="C9" s="110" t="s">
        <v>168</v>
      </c>
      <c r="D9" s="112" t="s">
        <v>2063</v>
      </c>
      <c r="E9" s="112" t="s">
        <v>169</v>
      </c>
      <c r="F9" s="104" t="s">
        <v>162</v>
      </c>
      <c r="G9" s="113">
        <v>10000</v>
      </c>
      <c r="H9" s="113">
        <f t="shared" si="2"/>
        <v>155870</v>
      </c>
      <c r="I9" s="113">
        <f t="shared" si="3"/>
        <v>155870</v>
      </c>
      <c r="J9" s="124"/>
      <c r="K9" s="183">
        <f t="shared" si="6"/>
        <v>15.587</v>
      </c>
      <c r="L9" s="183">
        <f t="shared" si="7"/>
        <v>1.2869999999999999</v>
      </c>
      <c r="M9" s="183">
        <f t="shared" si="8"/>
        <v>14.3</v>
      </c>
      <c r="N9" s="114">
        <v>5</v>
      </c>
      <c r="O9" s="114">
        <v>0</v>
      </c>
      <c r="P9" s="114">
        <v>0</v>
      </c>
      <c r="Q9" s="114">
        <v>8</v>
      </c>
      <c r="R9" s="115">
        <v>0.1</v>
      </c>
      <c r="S9" s="184">
        <f t="shared" si="9"/>
        <v>1.3</v>
      </c>
      <c r="T9" s="187">
        <v>0</v>
      </c>
      <c r="U9" s="186"/>
    </row>
    <row r="10" spans="1:21" ht="88.15" customHeight="1">
      <c r="A10" s="111">
        <v>5</v>
      </c>
      <c r="B10" s="111">
        <v>2</v>
      </c>
      <c r="C10" s="110" t="s">
        <v>170</v>
      </c>
      <c r="D10" s="116" t="s">
        <v>171</v>
      </c>
      <c r="E10" s="116" t="s">
        <v>2011</v>
      </c>
      <c r="F10" s="117" t="s">
        <v>172</v>
      </c>
      <c r="G10" s="118"/>
      <c r="H10" s="113">
        <f t="shared" si="2"/>
        <v>0</v>
      </c>
      <c r="I10" s="113">
        <f t="shared" si="3"/>
        <v>0</v>
      </c>
      <c r="J10" s="125"/>
      <c r="K10" s="183">
        <f t="shared" si="6"/>
        <v>4.7960000000000003</v>
      </c>
      <c r="L10" s="183">
        <f t="shared" si="7"/>
        <v>0.39600000000000002</v>
      </c>
      <c r="M10" s="183">
        <f t="shared" si="8"/>
        <v>4.4000000000000004</v>
      </c>
      <c r="N10" s="114">
        <v>4</v>
      </c>
      <c r="O10" s="114">
        <v>0</v>
      </c>
      <c r="P10" s="114">
        <v>0</v>
      </c>
      <c r="Q10" s="114">
        <v>0</v>
      </c>
      <c r="R10" s="115">
        <v>0.1</v>
      </c>
      <c r="S10" s="184">
        <f t="shared" si="9"/>
        <v>0.4</v>
      </c>
      <c r="T10" s="185"/>
      <c r="U10" s="186"/>
    </row>
    <row r="11" spans="1:21" ht="265.89999999999998" customHeight="1">
      <c r="A11" s="111">
        <v>6</v>
      </c>
      <c r="B11" s="111">
        <v>2</v>
      </c>
      <c r="C11" s="110" t="s">
        <v>173</v>
      </c>
      <c r="D11" s="112" t="s">
        <v>174</v>
      </c>
      <c r="E11" s="112" t="s">
        <v>175</v>
      </c>
      <c r="F11" s="104" t="s">
        <v>162</v>
      </c>
      <c r="G11" s="113"/>
      <c r="H11" s="113">
        <f t="shared" si="2"/>
        <v>0</v>
      </c>
      <c r="I11" s="113">
        <f t="shared" si="3"/>
        <v>0</v>
      </c>
      <c r="J11" s="124"/>
      <c r="K11" s="183">
        <f t="shared" ref="K11" si="10">L11+M11</f>
        <v>47.96</v>
      </c>
      <c r="L11" s="183">
        <f t="shared" ref="L11" si="11">M11*0.09</f>
        <v>3.96</v>
      </c>
      <c r="M11" s="183">
        <f t="shared" ref="M11" si="12">N11+O11+P11+Q11+S11</f>
        <v>44</v>
      </c>
      <c r="N11" s="114">
        <v>40</v>
      </c>
      <c r="O11" s="114">
        <v>0</v>
      </c>
      <c r="P11" s="114">
        <v>0</v>
      </c>
      <c r="Q11" s="114">
        <v>0</v>
      </c>
      <c r="R11" s="115">
        <v>0.1</v>
      </c>
      <c r="S11" s="184">
        <f t="shared" ref="S11" si="13">SUM(N11:Q11)*R11</f>
        <v>4</v>
      </c>
      <c r="T11" s="185"/>
      <c r="U11" s="186"/>
    </row>
    <row r="12" spans="1:21" ht="257.45" customHeight="1">
      <c r="A12" s="111">
        <v>7</v>
      </c>
      <c r="B12" s="111">
        <v>2</v>
      </c>
      <c r="C12" s="110" t="s">
        <v>176</v>
      </c>
      <c r="D12" s="112" t="s">
        <v>177</v>
      </c>
      <c r="E12" s="112" t="s">
        <v>175</v>
      </c>
      <c r="F12" s="104" t="s">
        <v>162</v>
      </c>
      <c r="G12" s="113"/>
      <c r="H12" s="113">
        <f t="shared" si="2"/>
        <v>0</v>
      </c>
      <c r="I12" s="113">
        <f t="shared" si="3"/>
        <v>0</v>
      </c>
      <c r="J12" s="124"/>
      <c r="K12" s="183">
        <f t="shared" si="6"/>
        <v>143.88</v>
      </c>
      <c r="L12" s="183">
        <f t="shared" si="7"/>
        <v>11.879999999999999</v>
      </c>
      <c r="M12" s="183">
        <f t="shared" si="8"/>
        <v>132</v>
      </c>
      <c r="N12" s="114">
        <v>120</v>
      </c>
      <c r="O12" s="114">
        <v>0</v>
      </c>
      <c r="P12" s="114">
        <v>0</v>
      </c>
      <c r="Q12" s="114">
        <v>0</v>
      </c>
      <c r="R12" s="115">
        <v>0.1</v>
      </c>
      <c r="S12" s="184">
        <f t="shared" si="9"/>
        <v>12</v>
      </c>
      <c r="T12" s="185"/>
      <c r="U12" s="186"/>
    </row>
    <row r="13" spans="1:21" ht="258" customHeight="1">
      <c r="A13" s="111">
        <v>8</v>
      </c>
      <c r="B13" s="111">
        <v>2</v>
      </c>
      <c r="C13" s="119" t="s">
        <v>178</v>
      </c>
      <c r="D13" s="120" t="s">
        <v>179</v>
      </c>
      <c r="E13" s="121" t="s">
        <v>180</v>
      </c>
      <c r="F13" s="122" t="s">
        <v>162</v>
      </c>
      <c r="G13" s="122"/>
      <c r="H13" s="113">
        <f t="shared" ref="H13" si="14">G13*K13</f>
        <v>0</v>
      </c>
      <c r="I13" s="113">
        <f t="shared" si="3"/>
        <v>0</v>
      </c>
      <c r="J13" s="126"/>
      <c r="K13" s="183">
        <f t="shared" si="6"/>
        <v>491.59</v>
      </c>
      <c r="L13" s="183">
        <f t="shared" si="7"/>
        <v>40.589999999999996</v>
      </c>
      <c r="M13" s="183">
        <f t="shared" si="8"/>
        <v>451</v>
      </c>
      <c r="N13" s="114">
        <f>410</f>
        <v>410</v>
      </c>
      <c r="O13" s="114">
        <v>0</v>
      </c>
      <c r="P13" s="114">
        <v>0</v>
      </c>
      <c r="Q13" s="114">
        <v>0</v>
      </c>
      <c r="R13" s="115">
        <v>0.1</v>
      </c>
      <c r="S13" s="184">
        <f t="shared" si="9"/>
        <v>41</v>
      </c>
      <c r="T13" s="185"/>
      <c r="U13" s="186"/>
    </row>
    <row r="14" spans="1:21" ht="22.15" customHeight="1">
      <c r="A14" s="192"/>
      <c r="B14" s="193"/>
      <c r="C14" s="194" t="s">
        <v>35</v>
      </c>
      <c r="D14" s="193"/>
      <c r="E14" s="193"/>
      <c r="F14" s="195"/>
      <c r="G14" s="196"/>
      <c r="H14" s="189">
        <f>SUM(H6:H13)</f>
        <v>2979515</v>
      </c>
      <c r="I14" s="189">
        <f>SUM(I6:I13)</f>
        <v>2979515</v>
      </c>
      <c r="J14" s="188"/>
      <c r="K14" s="188"/>
      <c r="L14" s="188"/>
      <c r="M14" s="188"/>
      <c r="N14" s="190"/>
      <c r="O14" s="190"/>
      <c r="P14" s="190"/>
      <c r="Q14" s="190"/>
      <c r="R14" s="191"/>
      <c r="S14" s="190"/>
      <c r="T14" s="127"/>
      <c r="U14" s="123"/>
    </row>
  </sheetData>
  <sheetProtection password="C743" sheet="1" objects="1" scenarios="1"/>
  <autoFilter ref="A3:V14"/>
  <mergeCells count="16">
    <mergeCell ref="U2:U3"/>
    <mergeCell ref="A1:S1"/>
    <mergeCell ref="N2:S2"/>
    <mergeCell ref="A2:A4"/>
    <mergeCell ref="B2:B4"/>
    <mergeCell ref="C2:C4"/>
    <mergeCell ref="D2:D4"/>
    <mergeCell ref="E2:E4"/>
    <mergeCell ref="F2:F4"/>
    <mergeCell ref="G2:G4"/>
    <mergeCell ref="H2:H4"/>
    <mergeCell ref="I2:I4"/>
    <mergeCell ref="J2:J4"/>
    <mergeCell ref="K2:K3"/>
    <mergeCell ref="L2:L3"/>
    <mergeCell ref="M2:M3"/>
  </mergeCells>
  <phoneticPr fontId="112" type="noConversion"/>
  <printOptions horizontalCentered="1"/>
  <pageMargins left="0.19685039370078741" right="0.19685039370078741" top="0.98425196850393704" bottom="0.39370078740157483" header="0" footer="0.31496062992125984"/>
  <pageSetup paperSize="9" scale="90" orientation="landscape" horizontalDpi="4294967293"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heetPr>
  <dimension ref="A1:V30"/>
  <sheetViews>
    <sheetView view="pageBreakPreview" zoomScaleNormal="100" zoomScaleSheetLayoutView="100" workbookViewId="0">
      <pane xSplit="3" ySplit="4" topLeftCell="D6" activePane="bottomRight" state="frozen"/>
      <selection pane="topRight"/>
      <selection pane="bottomLeft"/>
      <selection pane="bottomRight" activeCell="O7" sqref="O7:R7 T7"/>
    </sheetView>
  </sheetViews>
  <sheetFormatPr defaultColWidth="9.25" defaultRowHeight="13.5" outlineLevelRow="1" outlineLevelCol="1"/>
  <cols>
    <col min="1" max="1" width="4" customWidth="1"/>
    <col min="2" max="2" width="4.125" customWidth="1"/>
    <col min="3" max="3" width="4.875" customWidth="1"/>
    <col min="4" max="4" width="10.125" customWidth="1"/>
    <col min="5" max="5" width="10" customWidth="1" outlineLevel="1"/>
    <col min="6" max="6" width="10.5" customWidth="1" outlineLevel="1"/>
    <col min="7" max="7" width="5.125" customWidth="1"/>
    <col min="8" max="8" width="7.75" customWidth="1"/>
    <col min="9" max="9" width="11.5" customWidth="1"/>
    <col min="10" max="10" width="10.875" customWidth="1"/>
    <col min="11" max="11" width="9.125" customWidth="1"/>
    <col min="12" max="12" width="7.75" customWidth="1"/>
    <col min="13" max="13" width="6.625" customWidth="1"/>
    <col min="14" max="14" width="7.25" customWidth="1"/>
    <col min="15" max="15" width="6.375" customWidth="1"/>
    <col min="16" max="16" width="7.5" customWidth="1"/>
    <col min="17" max="18" width="6.25" customWidth="1"/>
    <col min="19" max="19" width="7.75" customWidth="1"/>
    <col min="20" max="20" width="5.75" customWidth="1"/>
    <col min="21" max="21" width="5.5" customWidth="1"/>
    <col min="22" max="22" width="7.75" customWidth="1"/>
    <col min="23" max="23" width="9.25" customWidth="1"/>
  </cols>
  <sheetData>
    <row r="1" spans="1:22" ht="17.45" customHeight="1">
      <c r="A1" s="627" t="s">
        <v>181</v>
      </c>
      <c r="B1" s="627"/>
      <c r="C1" s="627"/>
      <c r="D1" s="627"/>
      <c r="E1" s="627"/>
      <c r="F1" s="627"/>
      <c r="G1" s="627"/>
      <c r="H1" s="627"/>
      <c r="I1" s="627"/>
      <c r="J1" s="627"/>
      <c r="K1" s="627"/>
      <c r="L1" s="627"/>
      <c r="M1" s="627"/>
      <c r="N1" s="627"/>
      <c r="O1" s="627"/>
      <c r="P1" s="627"/>
      <c r="Q1" s="627"/>
      <c r="R1" s="627"/>
      <c r="S1" s="627"/>
      <c r="T1" s="627"/>
      <c r="U1" s="627"/>
      <c r="V1" s="627"/>
    </row>
    <row r="2" spans="1:22" ht="36" customHeight="1">
      <c r="A2" s="629" t="s">
        <v>9</v>
      </c>
      <c r="B2" s="629" t="s">
        <v>131</v>
      </c>
      <c r="C2" s="630" t="s">
        <v>182</v>
      </c>
      <c r="D2" s="630" t="s">
        <v>133</v>
      </c>
      <c r="E2" s="629" t="s">
        <v>183</v>
      </c>
      <c r="F2" s="629" t="s">
        <v>184</v>
      </c>
      <c r="G2" s="629" t="s">
        <v>135</v>
      </c>
      <c r="H2" s="629" t="s">
        <v>136</v>
      </c>
      <c r="I2" s="629" t="s">
        <v>2082</v>
      </c>
      <c r="J2" s="629" t="s">
        <v>138</v>
      </c>
      <c r="K2" s="631" t="s">
        <v>139</v>
      </c>
      <c r="L2" s="623" t="s">
        <v>140</v>
      </c>
      <c r="M2" s="623" t="s">
        <v>141</v>
      </c>
      <c r="N2" s="623" t="s">
        <v>142</v>
      </c>
      <c r="O2" s="623" t="s">
        <v>143</v>
      </c>
      <c r="P2" s="623"/>
      <c r="Q2" s="623"/>
      <c r="R2" s="623"/>
      <c r="S2" s="623"/>
      <c r="T2" s="623"/>
      <c r="U2" s="128"/>
      <c r="V2" s="624" t="s">
        <v>185</v>
      </c>
    </row>
    <row r="3" spans="1:22" ht="62.45" customHeight="1">
      <c r="A3" s="629"/>
      <c r="B3" s="629"/>
      <c r="C3" s="630"/>
      <c r="D3" s="630"/>
      <c r="E3" s="629"/>
      <c r="F3" s="629"/>
      <c r="G3" s="629"/>
      <c r="H3" s="629"/>
      <c r="I3" s="629"/>
      <c r="J3" s="629"/>
      <c r="K3" s="631"/>
      <c r="L3" s="623"/>
      <c r="M3" s="623"/>
      <c r="N3" s="623"/>
      <c r="O3" s="129" t="s">
        <v>144</v>
      </c>
      <c r="P3" s="129" t="s">
        <v>145</v>
      </c>
      <c r="Q3" s="129" t="s">
        <v>146</v>
      </c>
      <c r="R3" s="130" t="s">
        <v>147</v>
      </c>
      <c r="S3" s="130" t="s">
        <v>2072</v>
      </c>
      <c r="T3" s="130" t="s">
        <v>149</v>
      </c>
      <c r="U3" s="130" t="s">
        <v>150</v>
      </c>
      <c r="V3" s="625"/>
    </row>
    <row r="4" spans="1:22" ht="14.25">
      <c r="A4" s="131" t="s">
        <v>45</v>
      </c>
      <c r="B4" s="132"/>
      <c r="C4" s="628" t="s">
        <v>67</v>
      </c>
      <c r="D4" s="628"/>
      <c r="E4" s="133"/>
      <c r="F4" s="133"/>
      <c r="G4" s="134"/>
      <c r="H4" s="134"/>
      <c r="I4" s="134"/>
      <c r="J4" s="134"/>
      <c r="K4" s="134"/>
      <c r="L4" s="135"/>
      <c r="M4" s="135"/>
      <c r="N4" s="135"/>
      <c r="O4" s="135"/>
      <c r="P4" s="135"/>
      <c r="Q4" s="135"/>
      <c r="R4" s="135"/>
      <c r="S4" s="136"/>
      <c r="T4" s="137"/>
      <c r="U4" s="137"/>
      <c r="V4" s="138"/>
    </row>
    <row r="5" spans="1:22" ht="225.6" customHeight="1" outlineLevel="1">
      <c r="A5" s="139">
        <v>1</v>
      </c>
      <c r="B5" s="139">
        <v>1</v>
      </c>
      <c r="C5" s="140" t="s">
        <v>186</v>
      </c>
      <c r="D5" s="141" t="s">
        <v>2073</v>
      </c>
      <c r="E5" s="140" t="s">
        <v>187</v>
      </c>
      <c r="F5" s="140" t="s">
        <v>188</v>
      </c>
      <c r="G5" s="142" t="s">
        <v>162</v>
      </c>
      <c r="H5" s="539">
        <v>0</v>
      </c>
      <c r="I5" s="539">
        <f>H5*L5</f>
        <v>0</v>
      </c>
      <c r="J5" s="539">
        <f>H5*L5*(1+K5)</f>
        <v>0</v>
      </c>
      <c r="K5" s="540"/>
      <c r="L5" s="541">
        <f t="shared" ref="L5:L10" si="0">M5+N5</f>
        <v>1187.01</v>
      </c>
      <c r="M5" s="541">
        <f t="shared" ref="M5:M10" si="1">N5*9%</f>
        <v>98.009999999999991</v>
      </c>
      <c r="N5" s="541">
        <f t="shared" ref="N5:N10" si="2">O5+P5+Q5+R5+T5</f>
        <v>1089</v>
      </c>
      <c r="O5" s="541">
        <v>0</v>
      </c>
      <c r="P5" s="541">
        <v>0</v>
      </c>
      <c r="Q5" s="541">
        <v>0</v>
      </c>
      <c r="R5" s="541">
        <v>990</v>
      </c>
      <c r="S5" s="542">
        <v>0.1</v>
      </c>
      <c r="T5" s="541">
        <f t="shared" ref="T5" si="3">(R5+Q5+P5+O5)*S5</f>
        <v>99</v>
      </c>
      <c r="U5" s="143"/>
      <c r="V5" s="626" t="s">
        <v>2079</v>
      </c>
    </row>
    <row r="6" spans="1:22" ht="205.9" customHeight="1" outlineLevel="1">
      <c r="A6" s="139">
        <v>2</v>
      </c>
      <c r="B6" s="139">
        <v>1</v>
      </c>
      <c r="C6" s="140" t="s">
        <v>189</v>
      </c>
      <c r="D6" s="141" t="s">
        <v>190</v>
      </c>
      <c r="E6" s="140" t="s">
        <v>2064</v>
      </c>
      <c r="F6" s="140" t="s">
        <v>188</v>
      </c>
      <c r="G6" s="142" t="s">
        <v>162</v>
      </c>
      <c r="H6" s="539">
        <v>0</v>
      </c>
      <c r="I6" s="539">
        <f t="shared" ref="I6:I25" si="4">H6*L6</f>
        <v>0</v>
      </c>
      <c r="J6" s="539">
        <f t="shared" ref="J6:J25" si="5">H6*L6*(1+K6)</f>
        <v>0</v>
      </c>
      <c r="K6" s="540"/>
      <c r="L6" s="541">
        <f t="shared" ref="L6" si="6">M6+N6</f>
        <v>871.673</v>
      </c>
      <c r="M6" s="541">
        <f t="shared" si="1"/>
        <v>71.972999999999999</v>
      </c>
      <c r="N6" s="541">
        <f t="shared" ref="N6" si="7">O6+P6+Q6+R6+T6</f>
        <v>799.7</v>
      </c>
      <c r="O6" s="541">
        <v>0</v>
      </c>
      <c r="P6" s="541">
        <v>0</v>
      </c>
      <c r="Q6" s="541">
        <v>0</v>
      </c>
      <c r="R6" s="541">
        <v>727</v>
      </c>
      <c r="S6" s="542">
        <v>0.1</v>
      </c>
      <c r="T6" s="541">
        <f t="shared" ref="T6:T12" si="8">(R6+Q6+P6+O6)*S6</f>
        <v>72.7</v>
      </c>
      <c r="U6" s="143"/>
      <c r="V6" s="626"/>
    </row>
    <row r="7" spans="1:22" ht="210.6" customHeight="1" outlineLevel="1">
      <c r="A7" s="139">
        <v>3</v>
      </c>
      <c r="B7" s="139">
        <v>1</v>
      </c>
      <c r="C7" s="144" t="s">
        <v>191</v>
      </c>
      <c r="D7" s="145" t="s">
        <v>192</v>
      </c>
      <c r="E7" s="144" t="s">
        <v>187</v>
      </c>
      <c r="F7" s="144" t="s">
        <v>188</v>
      </c>
      <c r="G7" s="146" t="s">
        <v>162</v>
      </c>
      <c r="H7" s="539">
        <v>1276.096</v>
      </c>
      <c r="I7" s="539">
        <f t="shared" si="4"/>
        <v>853486.41299328022</v>
      </c>
      <c r="J7" s="539">
        <f t="shared" si="5"/>
        <v>853486.41299328022</v>
      </c>
      <c r="K7" s="540"/>
      <c r="L7" s="541">
        <f t="shared" si="0"/>
        <v>668.82618000000014</v>
      </c>
      <c r="M7" s="541">
        <f t="shared" si="1"/>
        <v>55.224180000000004</v>
      </c>
      <c r="N7" s="541">
        <f t="shared" si="2"/>
        <v>613.60200000000009</v>
      </c>
      <c r="O7" s="541">
        <v>0</v>
      </c>
      <c r="P7" s="541">
        <v>0</v>
      </c>
      <c r="Q7" s="541">
        <v>0</v>
      </c>
      <c r="R7" s="541">
        <v>557.82000000000005</v>
      </c>
      <c r="S7" s="542">
        <v>0.1</v>
      </c>
      <c r="T7" s="541">
        <f t="shared" si="8"/>
        <v>55.782000000000011</v>
      </c>
      <c r="U7" s="143"/>
      <c r="V7" s="626"/>
    </row>
    <row r="8" spans="1:22" ht="207.6" customHeight="1" outlineLevel="1">
      <c r="A8" s="139">
        <v>4</v>
      </c>
      <c r="B8" s="139">
        <v>1</v>
      </c>
      <c r="C8" s="140" t="s">
        <v>193</v>
      </c>
      <c r="D8" s="141" t="s">
        <v>192</v>
      </c>
      <c r="E8" s="140" t="s">
        <v>187</v>
      </c>
      <c r="F8" s="140" t="s">
        <v>2066</v>
      </c>
      <c r="G8" s="142" t="s">
        <v>162</v>
      </c>
      <c r="H8" s="539">
        <v>0</v>
      </c>
      <c r="I8" s="539">
        <f t="shared" si="4"/>
        <v>0</v>
      </c>
      <c r="J8" s="539">
        <f t="shared" si="5"/>
        <v>0</v>
      </c>
      <c r="K8" s="540"/>
      <c r="L8" s="541">
        <f t="shared" ref="L8" si="9">M8+N8</f>
        <v>527.99163999999996</v>
      </c>
      <c r="M8" s="541">
        <f t="shared" si="1"/>
        <v>43.595640000000003</v>
      </c>
      <c r="N8" s="541">
        <f t="shared" ref="N8" si="10">O8+P8+Q8+R8+T8</f>
        <v>484.39600000000002</v>
      </c>
      <c r="O8" s="541">
        <v>0</v>
      </c>
      <c r="P8" s="541">
        <v>0</v>
      </c>
      <c r="Q8" s="541">
        <v>0</v>
      </c>
      <c r="R8" s="541">
        <v>440.36</v>
      </c>
      <c r="S8" s="542">
        <v>0.1</v>
      </c>
      <c r="T8" s="541">
        <f t="shared" si="8"/>
        <v>44.036000000000001</v>
      </c>
      <c r="U8" s="143"/>
      <c r="V8" s="147"/>
    </row>
    <row r="9" spans="1:22" ht="217.15" customHeight="1" outlineLevel="1">
      <c r="A9" s="139">
        <v>5</v>
      </c>
      <c r="B9" s="139">
        <v>1</v>
      </c>
      <c r="C9" s="144" t="s">
        <v>194</v>
      </c>
      <c r="D9" s="145" t="s">
        <v>195</v>
      </c>
      <c r="E9" s="144" t="s">
        <v>196</v>
      </c>
      <c r="F9" s="144" t="s">
        <v>188</v>
      </c>
      <c r="G9" s="146" t="s">
        <v>162</v>
      </c>
      <c r="H9" s="539">
        <v>1750.55</v>
      </c>
      <c r="I9" s="539">
        <f t="shared" si="4"/>
        <v>748660.01172049984</v>
      </c>
      <c r="J9" s="539">
        <f t="shared" si="5"/>
        <v>748660.01172049984</v>
      </c>
      <c r="K9" s="540"/>
      <c r="L9" s="541">
        <f t="shared" si="0"/>
        <v>427.67130999999995</v>
      </c>
      <c r="M9" s="541">
        <f t="shared" si="1"/>
        <v>35.312309999999997</v>
      </c>
      <c r="N9" s="541">
        <f t="shared" si="2"/>
        <v>392.35899999999998</v>
      </c>
      <c r="O9" s="541">
        <v>0</v>
      </c>
      <c r="P9" s="541">
        <v>0</v>
      </c>
      <c r="Q9" s="541">
        <v>0</v>
      </c>
      <c r="R9" s="541">
        <v>356.69</v>
      </c>
      <c r="S9" s="542">
        <v>0.1</v>
      </c>
      <c r="T9" s="541">
        <f t="shared" si="8"/>
        <v>35.669000000000004</v>
      </c>
      <c r="U9" s="143"/>
      <c r="V9" s="626" t="s">
        <v>2080</v>
      </c>
    </row>
    <row r="10" spans="1:22" ht="220.15" customHeight="1" outlineLevel="1">
      <c r="A10" s="139">
        <v>6</v>
      </c>
      <c r="B10" s="139">
        <v>1</v>
      </c>
      <c r="C10" s="144" t="s">
        <v>197</v>
      </c>
      <c r="D10" s="145" t="s">
        <v>198</v>
      </c>
      <c r="E10" s="144" t="s">
        <v>196</v>
      </c>
      <c r="F10" s="144" t="s">
        <v>188</v>
      </c>
      <c r="G10" s="146" t="s">
        <v>162</v>
      </c>
      <c r="H10" s="539">
        <v>305.20800000000003</v>
      </c>
      <c r="I10" s="539">
        <f t="shared" si="4"/>
        <v>102464.42976000001</v>
      </c>
      <c r="J10" s="539">
        <f t="shared" si="5"/>
        <v>102464.42976000001</v>
      </c>
      <c r="K10" s="540"/>
      <c r="L10" s="541">
        <f t="shared" si="0"/>
        <v>335.72</v>
      </c>
      <c r="M10" s="541">
        <f t="shared" si="1"/>
        <v>27.72</v>
      </c>
      <c r="N10" s="541">
        <f t="shared" si="2"/>
        <v>308</v>
      </c>
      <c r="O10" s="541">
        <v>0</v>
      </c>
      <c r="P10" s="541">
        <v>0</v>
      </c>
      <c r="Q10" s="541">
        <v>0</v>
      </c>
      <c r="R10" s="541">
        <v>280</v>
      </c>
      <c r="S10" s="542">
        <v>0.1</v>
      </c>
      <c r="T10" s="541">
        <f t="shared" si="8"/>
        <v>28</v>
      </c>
      <c r="U10" s="143"/>
      <c r="V10" s="626"/>
    </row>
    <row r="11" spans="1:22" ht="93" customHeight="1" outlineLevel="1">
      <c r="A11" s="139">
        <v>7</v>
      </c>
      <c r="B11" s="139">
        <v>1</v>
      </c>
      <c r="C11" s="148" t="s">
        <v>199</v>
      </c>
      <c r="D11" s="149" t="s">
        <v>200</v>
      </c>
      <c r="E11" s="150" t="s">
        <v>201</v>
      </c>
      <c r="F11" s="150" t="s">
        <v>202</v>
      </c>
      <c r="G11" s="151" t="s">
        <v>162</v>
      </c>
      <c r="H11" s="539">
        <v>0</v>
      </c>
      <c r="I11" s="539">
        <f t="shared" si="4"/>
        <v>0</v>
      </c>
      <c r="J11" s="539">
        <f t="shared" si="5"/>
        <v>0</v>
      </c>
      <c r="K11" s="540"/>
      <c r="L11" s="541">
        <f t="shared" ref="L11:L12" si="11">M11+N11</f>
        <v>605.01889223301009</v>
      </c>
      <c r="M11" s="541">
        <f t="shared" ref="M11:M25" si="12">N11*9%</f>
        <v>49.955688349514588</v>
      </c>
      <c r="N11" s="541">
        <f t="shared" ref="N11:N12" si="13">O11+P11+Q11+R11+T11</f>
        <v>555.06320388349548</v>
      </c>
      <c r="O11" s="541">
        <v>25</v>
      </c>
      <c r="P11" s="543">
        <f>调差材料基价表!E12*1.18</f>
        <v>469.70873786407799</v>
      </c>
      <c r="Q11" s="541"/>
      <c r="R11" s="541">
        <f>(O11+P11)*2%</f>
        <v>9.8941747572815597</v>
      </c>
      <c r="S11" s="544">
        <v>0.1</v>
      </c>
      <c r="T11" s="545">
        <f t="shared" si="8"/>
        <v>50.460291262135961</v>
      </c>
      <c r="U11" s="152" t="s">
        <v>203</v>
      </c>
      <c r="V11" s="153"/>
    </row>
    <row r="12" spans="1:22" ht="97.15" customHeight="1" outlineLevel="1">
      <c r="A12" s="139">
        <v>8</v>
      </c>
      <c r="B12" s="139">
        <v>1</v>
      </c>
      <c r="C12" s="148" t="s">
        <v>204</v>
      </c>
      <c r="D12" s="149" t="s">
        <v>205</v>
      </c>
      <c r="E12" s="150" t="s">
        <v>201</v>
      </c>
      <c r="F12" s="150" t="s">
        <v>202</v>
      </c>
      <c r="G12" s="151" t="s">
        <v>162</v>
      </c>
      <c r="H12" s="539">
        <v>0</v>
      </c>
      <c r="I12" s="539">
        <f t="shared" si="4"/>
        <v>0</v>
      </c>
      <c r="J12" s="539">
        <f t="shared" si="5"/>
        <v>0</v>
      </c>
      <c r="K12" s="540"/>
      <c r="L12" s="541">
        <f t="shared" si="11"/>
        <v>619.02973106796082</v>
      </c>
      <c r="M12" s="541">
        <f t="shared" si="12"/>
        <v>51.112546601941716</v>
      </c>
      <c r="N12" s="541">
        <f t="shared" si="13"/>
        <v>567.91718446601908</v>
      </c>
      <c r="O12" s="541">
        <v>25</v>
      </c>
      <c r="P12" s="543">
        <f>调差材料基价表!E13*1.18</f>
        <v>481.16504854368901</v>
      </c>
      <c r="Q12" s="541"/>
      <c r="R12" s="541">
        <f t="shared" ref="R12:R14" si="14">(O12+P12)*2%</f>
        <v>10.12330097087378</v>
      </c>
      <c r="S12" s="544">
        <v>0.1</v>
      </c>
      <c r="T12" s="545">
        <f t="shared" si="8"/>
        <v>51.628834951456284</v>
      </c>
      <c r="U12" s="152" t="s">
        <v>203</v>
      </c>
      <c r="V12" s="153"/>
    </row>
    <row r="13" spans="1:22" ht="88.9" customHeight="1" outlineLevel="1">
      <c r="A13" s="139">
        <v>9</v>
      </c>
      <c r="B13" s="139">
        <v>1</v>
      </c>
      <c r="C13" s="154" t="s">
        <v>206</v>
      </c>
      <c r="D13" s="155" t="s">
        <v>207</v>
      </c>
      <c r="E13" s="156" t="s">
        <v>201</v>
      </c>
      <c r="F13" s="156" t="s">
        <v>202</v>
      </c>
      <c r="G13" s="157" t="s">
        <v>162</v>
      </c>
      <c r="H13" s="539">
        <v>3331.8539999999998</v>
      </c>
      <c r="I13" s="539">
        <f t="shared" si="4"/>
        <v>2109198.754993299</v>
      </c>
      <c r="J13" s="539">
        <f t="shared" si="5"/>
        <v>2109198.754993299</v>
      </c>
      <c r="K13" s="540"/>
      <c r="L13" s="541">
        <f t="shared" ref="L13:L14" si="15">M13+N13</f>
        <v>633.04056990291269</v>
      </c>
      <c r="M13" s="541">
        <f t="shared" si="12"/>
        <v>52.269404854368929</v>
      </c>
      <c r="N13" s="541">
        <f t="shared" ref="N13:N14" si="16">O13+P13+Q13+R13+T13</f>
        <v>580.77116504854371</v>
      </c>
      <c r="O13" s="541">
        <v>25</v>
      </c>
      <c r="P13" s="543">
        <f>调差材料基价表!E14*1.18</f>
        <v>492.621359223301</v>
      </c>
      <c r="Q13" s="541"/>
      <c r="R13" s="541">
        <f t="shared" si="14"/>
        <v>10.35242718446602</v>
      </c>
      <c r="S13" s="542">
        <v>0.1</v>
      </c>
      <c r="T13" s="541">
        <f t="shared" ref="T13:T14" si="17">(R13+Q13+P13+O13)*S13</f>
        <v>52.797378640776699</v>
      </c>
      <c r="U13" s="152" t="s">
        <v>203</v>
      </c>
      <c r="V13" s="147"/>
    </row>
    <row r="14" spans="1:22" ht="82.15" customHeight="1" outlineLevel="1">
      <c r="A14" s="139">
        <v>10</v>
      </c>
      <c r="B14" s="139">
        <v>1</v>
      </c>
      <c r="C14" s="148" t="s">
        <v>208</v>
      </c>
      <c r="D14" s="149" t="s">
        <v>209</v>
      </c>
      <c r="E14" s="150" t="s">
        <v>201</v>
      </c>
      <c r="F14" s="150" t="s">
        <v>202</v>
      </c>
      <c r="G14" s="158" t="s">
        <v>162</v>
      </c>
      <c r="H14" s="539">
        <v>0</v>
      </c>
      <c r="I14" s="539">
        <f t="shared" si="4"/>
        <v>0</v>
      </c>
      <c r="J14" s="539">
        <f t="shared" si="5"/>
        <v>0</v>
      </c>
      <c r="K14" s="540"/>
      <c r="L14" s="541">
        <f t="shared" si="15"/>
        <v>654.0568281553393</v>
      </c>
      <c r="M14" s="541">
        <f t="shared" si="12"/>
        <v>54.004692233009663</v>
      </c>
      <c r="N14" s="541">
        <f t="shared" si="16"/>
        <v>600.05213592232963</v>
      </c>
      <c r="O14" s="541">
        <v>25</v>
      </c>
      <c r="P14" s="543">
        <f>调差材料基价表!E15*1.18</f>
        <v>509.80582524271802</v>
      </c>
      <c r="Q14" s="541"/>
      <c r="R14" s="541">
        <f t="shared" si="14"/>
        <v>10.696116504854361</v>
      </c>
      <c r="S14" s="544">
        <v>0.1</v>
      </c>
      <c r="T14" s="545">
        <f t="shared" si="17"/>
        <v>54.550194174757237</v>
      </c>
      <c r="U14" s="152" t="s">
        <v>203</v>
      </c>
      <c r="V14" s="153"/>
    </row>
    <row r="15" spans="1:22" ht="61.15" customHeight="1" outlineLevel="1">
      <c r="A15" s="139">
        <v>11</v>
      </c>
      <c r="B15" s="139"/>
      <c r="C15" s="159" t="s">
        <v>210</v>
      </c>
      <c r="D15" s="159" t="s">
        <v>2081</v>
      </c>
      <c r="E15" s="160"/>
      <c r="F15" s="159" t="s">
        <v>211</v>
      </c>
      <c r="G15" s="161" t="s">
        <v>212</v>
      </c>
      <c r="H15" s="539">
        <v>15120</v>
      </c>
      <c r="I15" s="539">
        <f t="shared" si="4"/>
        <v>117837.72</v>
      </c>
      <c r="J15" s="539">
        <f t="shared" si="5"/>
        <v>117837.72</v>
      </c>
      <c r="K15" s="540"/>
      <c r="L15" s="541">
        <f t="shared" ref="L15" si="18">M15+N15</f>
        <v>7.7934999999999999</v>
      </c>
      <c r="M15" s="541">
        <f t="shared" si="12"/>
        <v>0.64349999999999996</v>
      </c>
      <c r="N15" s="541">
        <f t="shared" ref="N15" si="19">O15+P15+Q15+R15+T15</f>
        <v>7.15</v>
      </c>
      <c r="O15" s="543">
        <v>1.5</v>
      </c>
      <c r="P15" s="543">
        <v>5</v>
      </c>
      <c r="Q15" s="541"/>
      <c r="R15" s="541">
        <v>0</v>
      </c>
      <c r="S15" s="542">
        <v>0.1</v>
      </c>
      <c r="T15" s="541">
        <f t="shared" ref="T15" si="20">(R15+Q15+P15+O15)*S15</f>
        <v>0.65</v>
      </c>
      <c r="U15" s="143"/>
      <c r="V15" s="147"/>
    </row>
    <row r="16" spans="1:22" ht="195" customHeight="1" outlineLevel="1">
      <c r="A16" s="139">
        <v>12</v>
      </c>
      <c r="B16" s="139">
        <v>1</v>
      </c>
      <c r="C16" s="148" t="s">
        <v>213</v>
      </c>
      <c r="D16" s="162" t="s">
        <v>2074</v>
      </c>
      <c r="E16" s="140" t="s">
        <v>214</v>
      </c>
      <c r="F16" s="140" t="s">
        <v>2065</v>
      </c>
      <c r="G16" s="158" t="s">
        <v>215</v>
      </c>
      <c r="H16" s="539">
        <v>0</v>
      </c>
      <c r="I16" s="539">
        <f t="shared" si="4"/>
        <v>0</v>
      </c>
      <c r="J16" s="539">
        <f t="shared" si="5"/>
        <v>0</v>
      </c>
      <c r="K16" s="540"/>
      <c r="L16" s="541">
        <f t="shared" ref="L16:L25" si="21">M16+N16</f>
        <v>302.95309785755632</v>
      </c>
      <c r="M16" s="541">
        <f t="shared" si="12"/>
        <v>25.014475969889968</v>
      </c>
      <c r="N16" s="541">
        <f t="shared" ref="N16:N25" si="22">O16+P16+Q16+R16+T16</f>
        <v>277.93862188766633</v>
      </c>
      <c r="O16" s="541">
        <f>240/(0.55*0.55*3.14)</f>
        <v>252.67147444333301</v>
      </c>
      <c r="P16" s="541">
        <v>0</v>
      </c>
      <c r="Q16" s="541">
        <v>0</v>
      </c>
      <c r="R16" s="541">
        <v>0</v>
      </c>
      <c r="S16" s="544">
        <v>0.1</v>
      </c>
      <c r="T16" s="545">
        <f t="shared" ref="T16:T23" si="23">(R16+Q16+P16+O16)*S16</f>
        <v>25.267147444333304</v>
      </c>
      <c r="U16" s="163"/>
      <c r="V16" s="626" t="s">
        <v>2078</v>
      </c>
    </row>
    <row r="17" spans="1:22" ht="187.15" customHeight="1" outlineLevel="1">
      <c r="A17" s="139">
        <v>13</v>
      </c>
      <c r="B17" s="139">
        <v>1</v>
      </c>
      <c r="C17" s="148" t="s">
        <v>213</v>
      </c>
      <c r="D17" s="162" t="s">
        <v>2075</v>
      </c>
      <c r="E17" s="140" t="s">
        <v>214</v>
      </c>
      <c r="F17" s="164" t="s">
        <v>2065</v>
      </c>
      <c r="G17" s="158" t="s">
        <v>215</v>
      </c>
      <c r="H17" s="539">
        <v>0</v>
      </c>
      <c r="I17" s="539">
        <f t="shared" si="4"/>
        <v>0</v>
      </c>
      <c r="J17" s="539">
        <f t="shared" si="5"/>
        <v>0</v>
      </c>
      <c r="K17" s="540"/>
      <c r="L17" s="541">
        <f t="shared" si="21"/>
        <v>237.40200000000002</v>
      </c>
      <c r="M17" s="541">
        <f t="shared" si="12"/>
        <v>19.602</v>
      </c>
      <c r="N17" s="541">
        <f t="shared" si="22"/>
        <v>217.8</v>
      </c>
      <c r="O17" s="541">
        <v>198</v>
      </c>
      <c r="P17" s="541">
        <v>0</v>
      </c>
      <c r="Q17" s="541">
        <v>0</v>
      </c>
      <c r="R17" s="541">
        <v>0</v>
      </c>
      <c r="S17" s="544">
        <v>0.1</v>
      </c>
      <c r="T17" s="545">
        <f t="shared" si="23"/>
        <v>19.8</v>
      </c>
      <c r="U17" s="163"/>
      <c r="V17" s="626"/>
    </row>
    <row r="18" spans="1:22" ht="220.9" customHeight="1" outlineLevel="1">
      <c r="A18" s="139">
        <v>14</v>
      </c>
      <c r="B18" s="139">
        <v>1</v>
      </c>
      <c r="C18" s="148" t="s">
        <v>216</v>
      </c>
      <c r="D18" s="162" t="s">
        <v>217</v>
      </c>
      <c r="E18" s="140" t="s">
        <v>214</v>
      </c>
      <c r="F18" s="164" t="s">
        <v>218</v>
      </c>
      <c r="G18" s="158" t="s">
        <v>215</v>
      </c>
      <c r="H18" s="539">
        <v>0</v>
      </c>
      <c r="I18" s="539">
        <f t="shared" si="4"/>
        <v>0</v>
      </c>
      <c r="J18" s="539">
        <f t="shared" si="5"/>
        <v>0</v>
      </c>
      <c r="K18" s="540"/>
      <c r="L18" s="541">
        <f t="shared" si="21"/>
        <v>639.28847133757938</v>
      </c>
      <c r="M18" s="541">
        <f t="shared" si="12"/>
        <v>52.785286624203806</v>
      </c>
      <c r="N18" s="541">
        <f t="shared" si="22"/>
        <v>586.50318471337562</v>
      </c>
      <c r="O18" s="541">
        <f>395/(0.5*0.5*3.14)+30</f>
        <v>533.18471337579604</v>
      </c>
      <c r="P18" s="541">
        <v>0</v>
      </c>
      <c r="Q18" s="541">
        <v>0</v>
      </c>
      <c r="R18" s="541">
        <v>0</v>
      </c>
      <c r="S18" s="544">
        <v>0.1</v>
      </c>
      <c r="T18" s="545">
        <f t="shared" si="23"/>
        <v>53.318471337579609</v>
      </c>
      <c r="U18" s="163"/>
      <c r="V18" s="165"/>
    </row>
    <row r="19" spans="1:22" ht="221.45" customHeight="1" outlineLevel="1">
      <c r="A19" s="139">
        <v>15</v>
      </c>
      <c r="B19" s="139">
        <v>1</v>
      </c>
      <c r="C19" s="148" t="s">
        <v>216</v>
      </c>
      <c r="D19" s="162" t="s">
        <v>219</v>
      </c>
      <c r="E19" s="140" t="s">
        <v>214</v>
      </c>
      <c r="F19" s="164" t="s">
        <v>218</v>
      </c>
      <c r="G19" s="158" t="s">
        <v>215</v>
      </c>
      <c r="H19" s="539">
        <v>0</v>
      </c>
      <c r="I19" s="539">
        <f t="shared" si="4"/>
        <v>0</v>
      </c>
      <c r="J19" s="539">
        <f t="shared" si="5"/>
        <v>0</v>
      </c>
      <c r="K19" s="540"/>
      <c r="L19" s="541">
        <f t="shared" si="21"/>
        <v>473.60500000000002</v>
      </c>
      <c r="M19" s="541">
        <f t="shared" si="12"/>
        <v>39.104999999999997</v>
      </c>
      <c r="N19" s="541">
        <f t="shared" si="22"/>
        <v>434.5</v>
      </c>
      <c r="O19" s="541">
        <v>395</v>
      </c>
      <c r="P19" s="541">
        <v>0</v>
      </c>
      <c r="Q19" s="541">
        <v>0</v>
      </c>
      <c r="R19" s="541">
        <v>0</v>
      </c>
      <c r="S19" s="544">
        <v>0.1</v>
      </c>
      <c r="T19" s="545">
        <f t="shared" si="23"/>
        <v>39.5</v>
      </c>
      <c r="U19" s="163"/>
      <c r="V19" s="165"/>
    </row>
    <row r="20" spans="1:22" ht="91.15" customHeight="1" outlineLevel="1">
      <c r="A20" s="139">
        <v>16</v>
      </c>
      <c r="B20" s="139">
        <v>1</v>
      </c>
      <c r="C20" s="166" t="s">
        <v>220</v>
      </c>
      <c r="D20" s="148" t="s">
        <v>221</v>
      </c>
      <c r="E20" s="140"/>
      <c r="F20" s="150" t="s">
        <v>2070</v>
      </c>
      <c r="G20" s="167"/>
      <c r="H20" s="539">
        <v>0</v>
      </c>
      <c r="I20" s="539">
        <f t="shared" si="4"/>
        <v>0</v>
      </c>
      <c r="J20" s="539">
        <f t="shared" si="5"/>
        <v>0</v>
      </c>
      <c r="K20" s="540"/>
      <c r="L20" s="541">
        <f t="shared" si="21"/>
        <v>551.35025533980627</v>
      </c>
      <c r="M20" s="541">
        <f t="shared" si="12"/>
        <v>45.524333009708776</v>
      </c>
      <c r="N20" s="541">
        <f t="shared" si="22"/>
        <v>505.82592233009751</v>
      </c>
      <c r="O20" s="541">
        <v>25</v>
      </c>
      <c r="P20" s="541">
        <f>调差材料基价表!E14*1.02</f>
        <v>425.82524271844699</v>
      </c>
      <c r="Q20" s="541"/>
      <c r="R20" s="541">
        <f>(O20+P20)*2%</f>
        <v>9.0165048543689394</v>
      </c>
      <c r="S20" s="544">
        <v>0.1</v>
      </c>
      <c r="T20" s="545">
        <f t="shared" si="23"/>
        <v>45.984174757281593</v>
      </c>
      <c r="U20" s="163" t="s">
        <v>222</v>
      </c>
      <c r="V20" s="165" t="s">
        <v>223</v>
      </c>
    </row>
    <row r="21" spans="1:22" ht="115.5" outlineLevel="1">
      <c r="A21" s="139">
        <v>17</v>
      </c>
      <c r="B21" s="139">
        <v>1</v>
      </c>
      <c r="C21" s="166" t="s">
        <v>224</v>
      </c>
      <c r="D21" s="168" t="s">
        <v>225</v>
      </c>
      <c r="E21" s="169"/>
      <c r="F21" s="170" t="s">
        <v>2071</v>
      </c>
      <c r="G21" s="158" t="s">
        <v>215</v>
      </c>
      <c r="H21" s="539">
        <v>0</v>
      </c>
      <c r="I21" s="539">
        <f t="shared" si="4"/>
        <v>0</v>
      </c>
      <c r="J21" s="539">
        <f t="shared" si="5"/>
        <v>0</v>
      </c>
      <c r="K21" s="540"/>
      <c r="L21" s="541">
        <f t="shared" si="21"/>
        <v>349.20162815186205</v>
      </c>
      <c r="M21" s="541">
        <f t="shared" si="12"/>
        <v>28.833161957493196</v>
      </c>
      <c r="N21" s="541">
        <f t="shared" si="22"/>
        <v>320.36846619436886</v>
      </c>
      <c r="O21" s="541">
        <v>25</v>
      </c>
      <c r="P21" s="541">
        <f>472.99*调差材料基价表!E63/1000+调差材料基价表!E64*0.3979+1.4119*调差材料基价表!E65-64</f>
        <v>260.533392330097</v>
      </c>
      <c r="Q21" s="541"/>
      <c r="R21" s="541">
        <f t="shared" ref="R21:R22" si="24">(O21+P21)*2%</f>
        <v>5.7106678466019405</v>
      </c>
      <c r="S21" s="544">
        <v>0.1</v>
      </c>
      <c r="T21" s="545">
        <f t="shared" si="23"/>
        <v>29.124406017669898</v>
      </c>
      <c r="U21" s="171" t="s">
        <v>226</v>
      </c>
      <c r="V21" s="165"/>
    </row>
    <row r="22" spans="1:22" ht="80.45" customHeight="1" outlineLevel="1">
      <c r="A22" s="139">
        <v>18</v>
      </c>
      <c r="B22" s="139">
        <v>1</v>
      </c>
      <c r="C22" s="166" t="s">
        <v>227</v>
      </c>
      <c r="D22" s="168" t="s">
        <v>228</v>
      </c>
      <c r="E22" s="169"/>
      <c r="F22" s="150" t="s">
        <v>2070</v>
      </c>
      <c r="G22" s="158" t="s">
        <v>215</v>
      </c>
      <c r="H22" s="539">
        <v>0</v>
      </c>
      <c r="I22" s="539">
        <f t="shared" si="4"/>
        <v>0</v>
      </c>
      <c r="J22" s="539">
        <f t="shared" si="5"/>
        <v>0</v>
      </c>
      <c r="K22" s="540"/>
      <c r="L22" s="541">
        <f t="shared" si="21"/>
        <v>551.35025533980627</v>
      </c>
      <c r="M22" s="541">
        <f t="shared" si="12"/>
        <v>45.524333009708776</v>
      </c>
      <c r="N22" s="541">
        <f t="shared" si="22"/>
        <v>505.82592233009751</v>
      </c>
      <c r="O22" s="541">
        <v>25</v>
      </c>
      <c r="P22" s="541">
        <f>调差材料基价表!E14*1.02</f>
        <v>425.82524271844699</v>
      </c>
      <c r="Q22" s="541"/>
      <c r="R22" s="541">
        <f t="shared" si="24"/>
        <v>9.0165048543689394</v>
      </c>
      <c r="S22" s="544">
        <v>0.1</v>
      </c>
      <c r="T22" s="545">
        <f t="shared" si="23"/>
        <v>45.984174757281593</v>
      </c>
      <c r="U22" s="163" t="s">
        <v>222</v>
      </c>
      <c r="V22" s="165" t="s">
        <v>223</v>
      </c>
    </row>
    <row r="23" spans="1:22" ht="93.6" customHeight="1" outlineLevel="1">
      <c r="A23" s="139">
        <v>19</v>
      </c>
      <c r="B23" s="139">
        <v>1</v>
      </c>
      <c r="C23" s="166" t="s">
        <v>229</v>
      </c>
      <c r="D23" s="166" t="s">
        <v>230</v>
      </c>
      <c r="E23" s="166" t="s">
        <v>230</v>
      </c>
      <c r="F23" s="172" t="s">
        <v>2069</v>
      </c>
      <c r="G23" s="158" t="s">
        <v>172</v>
      </c>
      <c r="H23" s="539">
        <v>0</v>
      </c>
      <c r="I23" s="539">
        <f t="shared" si="4"/>
        <v>0</v>
      </c>
      <c r="J23" s="539">
        <f t="shared" si="5"/>
        <v>0</v>
      </c>
      <c r="K23" s="540"/>
      <c r="L23" s="541">
        <f t="shared" si="21"/>
        <v>17.984999999999999</v>
      </c>
      <c r="M23" s="541">
        <f t="shared" si="12"/>
        <v>1.4849999999999999</v>
      </c>
      <c r="N23" s="541">
        <f t="shared" si="22"/>
        <v>16.5</v>
      </c>
      <c r="O23" s="541">
        <v>8</v>
      </c>
      <c r="P23" s="541">
        <v>7</v>
      </c>
      <c r="Q23" s="541"/>
      <c r="R23" s="541">
        <v>0</v>
      </c>
      <c r="S23" s="544">
        <v>0.1</v>
      </c>
      <c r="T23" s="545">
        <f t="shared" si="23"/>
        <v>1.5</v>
      </c>
      <c r="U23" s="163"/>
      <c r="V23" s="165"/>
    </row>
    <row r="24" spans="1:22" ht="149.44999999999999" customHeight="1" outlineLevel="1">
      <c r="A24" s="139">
        <v>20</v>
      </c>
      <c r="B24" s="139">
        <v>1</v>
      </c>
      <c r="C24" s="140" t="s">
        <v>232</v>
      </c>
      <c r="D24" s="140" t="s">
        <v>233</v>
      </c>
      <c r="E24" s="140" t="s">
        <v>234</v>
      </c>
      <c r="F24" s="140" t="s">
        <v>2068</v>
      </c>
      <c r="G24" s="151" t="s">
        <v>235</v>
      </c>
      <c r="H24" s="539">
        <v>0</v>
      </c>
      <c r="I24" s="539">
        <f t="shared" si="4"/>
        <v>0</v>
      </c>
      <c r="J24" s="539">
        <f t="shared" si="5"/>
        <v>0</v>
      </c>
      <c r="K24" s="540"/>
      <c r="L24" s="541">
        <f t="shared" si="21"/>
        <v>131.88999999999999</v>
      </c>
      <c r="M24" s="541">
        <f t="shared" si="12"/>
        <v>10.889999999999999</v>
      </c>
      <c r="N24" s="541">
        <f t="shared" si="22"/>
        <v>121</v>
      </c>
      <c r="O24" s="541">
        <v>60</v>
      </c>
      <c r="P24" s="541"/>
      <c r="Q24" s="541"/>
      <c r="R24" s="541">
        <v>50</v>
      </c>
      <c r="S24" s="544">
        <v>0.1</v>
      </c>
      <c r="T24" s="545">
        <f t="shared" ref="T24:T25" si="25">(R24+Q24+P24+O24)*S24</f>
        <v>11</v>
      </c>
      <c r="U24" s="163"/>
      <c r="V24" s="173" t="s">
        <v>2083</v>
      </c>
    </row>
    <row r="25" spans="1:22" ht="73.150000000000006" customHeight="1" outlineLevel="1">
      <c r="A25" s="139">
        <v>21</v>
      </c>
      <c r="B25" s="139">
        <v>1</v>
      </c>
      <c r="C25" s="174" t="s">
        <v>236</v>
      </c>
      <c r="D25" s="174" t="s">
        <v>2076</v>
      </c>
      <c r="E25" s="175" t="s">
        <v>237</v>
      </c>
      <c r="F25" s="174" t="s">
        <v>2067</v>
      </c>
      <c r="G25" s="176" t="s">
        <v>238</v>
      </c>
      <c r="H25" s="546">
        <v>145.40569127516801</v>
      </c>
      <c r="I25" s="546">
        <f t="shared" si="4"/>
        <v>774250.2632686724</v>
      </c>
      <c r="J25" s="546">
        <f t="shared" si="5"/>
        <v>774250.2632686724</v>
      </c>
      <c r="K25" s="540"/>
      <c r="L25" s="547">
        <f t="shared" si="21"/>
        <v>5324.759</v>
      </c>
      <c r="M25" s="547">
        <f t="shared" si="12"/>
        <v>439.65899999999999</v>
      </c>
      <c r="N25" s="547">
        <f t="shared" si="22"/>
        <v>4885.1000000000004</v>
      </c>
      <c r="O25" s="547">
        <v>800</v>
      </c>
      <c r="P25" s="547">
        <f>一级钢综合*1.02</f>
        <v>3621</v>
      </c>
      <c r="Q25" s="547"/>
      <c r="R25" s="547">
        <v>20</v>
      </c>
      <c r="S25" s="548">
        <v>0.1</v>
      </c>
      <c r="T25" s="549">
        <f t="shared" si="25"/>
        <v>444.1</v>
      </c>
      <c r="U25" s="177">
        <v>0.02</v>
      </c>
      <c r="V25" s="173"/>
    </row>
    <row r="26" spans="1:22" ht="27.6" customHeight="1">
      <c r="A26" s="178"/>
      <c r="B26" s="179"/>
      <c r="C26" s="180" t="s">
        <v>2077</v>
      </c>
      <c r="D26" s="180"/>
      <c r="E26" s="180"/>
      <c r="F26" s="180"/>
      <c r="G26" s="181"/>
      <c r="H26" s="550"/>
      <c r="I26" s="551">
        <f>SUM(I5:I25)</f>
        <v>4705897.5927357515</v>
      </c>
      <c r="J26" s="551">
        <f>SUM(J5:J25)</f>
        <v>4705897.5927357515</v>
      </c>
      <c r="K26" s="182"/>
      <c r="L26" s="182"/>
      <c r="M26" s="182"/>
      <c r="N26" s="182"/>
      <c r="O26" s="182"/>
      <c r="P26" s="182"/>
      <c r="Q26" s="182"/>
      <c r="R26" s="182"/>
      <c r="S26" s="182"/>
      <c r="T26" s="182"/>
      <c r="U26" s="182"/>
      <c r="V26" s="182"/>
    </row>
    <row r="27" spans="1:22" ht="24" customHeight="1"/>
    <row r="28" spans="1:22" ht="24" customHeight="1"/>
    <row r="29" spans="1:22" ht="24" customHeight="1"/>
    <row r="30" spans="1:22" ht="24" customHeight="1"/>
  </sheetData>
  <sheetProtection password="C743" sheet="1" objects="1" scenarios="1"/>
  <protectedRanges>
    <protectedRange sqref="D24 F24" name="区域2_2_2_1_2_1_2_1"/>
    <protectedRange sqref="F6" name="区域2_3_3_3_2_1_2_1_1_1_1"/>
    <protectedRange sqref="F7 F5 F9:F10" name="区域2_3_3_3_2_1_2_1_6_1_1"/>
    <protectedRange sqref="E24" name="区域2_2_2_1_2_1_1_1_1_1"/>
    <protectedRange sqref="F8" name="区域2_3_3_3_2_1_2_1_2_1_1_1"/>
    <protectedRange sqref="F7 F5 F9:F10" name="区域2_3_3_3_2_1_2_1_6_1_2"/>
    <protectedRange sqref="D24 F24" name="区域2_2_2_1_2_1_2_1_1"/>
    <protectedRange sqref="E24" name="区域2_2_2_1_2_1_1_1_1_2"/>
    <protectedRange sqref="F6" name="区域2_3_3_3_2_1_2_1_1_1_1_1"/>
    <protectedRange sqref="F8" name="区域2_3_3_3_2_1_2_1_2_1_1_2"/>
  </protectedRanges>
  <autoFilter ref="A3:W26"/>
  <mergeCells count="21">
    <mergeCell ref="A1:V1"/>
    <mergeCell ref="O2:T2"/>
    <mergeCell ref="C4:D4"/>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V5:V7"/>
    <mergeCell ref="V9:V10"/>
    <mergeCell ref="V16:V17"/>
  </mergeCells>
  <phoneticPr fontId="112" type="noConversion"/>
  <printOptions horizontalCentered="1"/>
  <pageMargins left="0.19685039370078741" right="0.19685039370078741" top="0.98425196850393704" bottom="0.39370078740157483" header="0" footer="0"/>
  <pageSetup paperSize="9" scale="9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14</vt:i4>
      </vt:variant>
    </vt:vector>
  </HeadingPairs>
  <TitlesOfParts>
    <vt:vector size="30" baseType="lpstr">
      <vt:lpstr>封面</vt:lpstr>
      <vt:lpstr>报价指引</vt:lpstr>
      <vt:lpstr>投标报价汇总表</vt:lpstr>
      <vt:lpstr>高层汇总表</vt:lpstr>
      <vt:lpstr>车库汇总表</vt:lpstr>
      <vt:lpstr>基准土建清单编制说明</vt:lpstr>
      <vt:lpstr>基准水电安装清单编制说明</vt:lpstr>
      <vt:lpstr>基准土石方清单</vt:lpstr>
      <vt:lpstr>基准桩基清单</vt:lpstr>
      <vt:lpstr>基准地下室土建清单</vt:lpstr>
      <vt:lpstr>基准高层土建清单 </vt:lpstr>
      <vt:lpstr>基准水电安装清单</vt:lpstr>
      <vt:lpstr>措施费</vt:lpstr>
      <vt:lpstr>投标单位补充清单</vt:lpstr>
      <vt:lpstr>零星工作限价表</vt:lpstr>
      <vt:lpstr>调差材料基价表</vt:lpstr>
      <vt:lpstr>基准地下室土建清单!Print_Area</vt:lpstr>
      <vt:lpstr>'基准高层土建清单 '!Print_Area</vt:lpstr>
      <vt:lpstr>基准水电安装清单!Print_Area</vt:lpstr>
      <vt:lpstr>基准水电安装清单编制说明!Print_Area</vt:lpstr>
      <vt:lpstr>基准土建清单编制说明!Print_Area</vt:lpstr>
      <vt:lpstr>基准桩基清单!Print_Area</vt:lpstr>
      <vt:lpstr>调差材料基价表!Print_Area</vt:lpstr>
      <vt:lpstr>投标报价汇总表!Print_Area</vt:lpstr>
      <vt:lpstr>二级钢</vt:lpstr>
      <vt:lpstr>冷轧带肋钢材</vt:lpstr>
      <vt:lpstr>三级钢</vt:lpstr>
      <vt:lpstr>四级钢</vt:lpstr>
      <vt:lpstr>四级抗震带E钢筋</vt:lpstr>
      <vt:lpstr>一级钢综合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王青荣</cp:lastModifiedBy>
  <cp:lastPrinted>2020-11-21T07:40:18Z</cp:lastPrinted>
  <dcterms:created xsi:type="dcterms:W3CDTF">2006-09-13T11:21:00Z</dcterms:created>
  <dcterms:modified xsi:type="dcterms:W3CDTF">2020-11-27T08:56:34Z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